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05" yWindow="-240" windowWidth="19440" windowHeight="11595" tabRatio="574"/>
  </bookViews>
  <sheets>
    <sheet name="ORÇAMENTO" sheetId="1" r:id="rId1"/>
    <sheet name="CRONOGRAMA" sheetId="2" r:id="rId2"/>
    <sheet name="Plan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BDI2">'[1]2.1'!$I$8</definedName>
    <definedName name="_______bdi3">'[1]2.1'!$I$8</definedName>
    <definedName name="_______pmd501">#REF!</definedName>
    <definedName name="______BDI2">'[1]2.1'!$I$8</definedName>
    <definedName name="______bdi3">'[1]2.1'!$I$8</definedName>
    <definedName name="______pmd501">#REF!</definedName>
    <definedName name="_____BDI2">'[2]2.1'!$I$8</definedName>
    <definedName name="_____bdi3">'[2]2.1'!$I$8</definedName>
    <definedName name="_____pmd501">#REF!</definedName>
    <definedName name="____BDI2">'[2]2.1'!$I$8</definedName>
    <definedName name="____bdi3">'[2]2.1'!$I$8</definedName>
    <definedName name="____pmd501">#REF!</definedName>
    <definedName name="___BDI2">'[2]2.1'!$I$8</definedName>
    <definedName name="___bdi3">'[2]2.1'!$I$8</definedName>
    <definedName name="___pmd501">#REF!</definedName>
    <definedName name="___xlfn_IFERROR">NA()</definedName>
    <definedName name="__BDI2">'[2]2.1'!$I$8</definedName>
    <definedName name="__bdi3">'[2]2.1'!$I$8</definedName>
    <definedName name="__pmd501">#REF!</definedName>
    <definedName name="__xlfn_IFERROR">NA()</definedName>
    <definedName name="_BDI2">'[2]2.1'!$I$8</definedName>
    <definedName name="_bdi3">'[2]2.1'!$I$8</definedName>
    <definedName name="_pmd501">#REF!</definedName>
    <definedName name="_xlnm.Print_Area" localSheetId="1">CRONOGRAMA!$A$1:$W$17</definedName>
    <definedName name="_xlnm.Print_Area" localSheetId="0">ORÇAMENTO!$A$1:$K$73</definedName>
    <definedName name="Atualizado">'[3]01.01- SERV INICIAIS'!#REF!</definedName>
    <definedName name="banco">'[4]Banco Dados'!$B$2:$E$841</definedName>
    <definedName name="_xlnm.Database">#REF!</definedName>
    <definedName name="bdi">#REF!</definedName>
    <definedName name="BDImat">'[3]01.01- SERV INICIAIS'!#REF!</definedName>
    <definedName name="BDImo">'[3]01.01- SERV INICIAIS'!#REF!</definedName>
    <definedName name="cap">#REF!</definedName>
    <definedName name="CAPA">'[3]01.01- SERV INICIAIS'!#REF!</definedName>
    <definedName name="dados">'[3]Banco Dados'!$B$2:$E$1260</definedName>
    <definedName name="dados2">'[5]Banco Dados'!$B$2:$E$96</definedName>
    <definedName name="dados3">'[3]Banco Dados'!$B$2:$E$1260</definedName>
    <definedName name="esq_alum">#REF!</definedName>
    <definedName name="ex.cbuq">#REF!</definedName>
    <definedName name="ex.pint">#REF!</definedName>
    <definedName name="Excel_BuiltIn_Database">#REF!</definedName>
    <definedName name="f">#REF!</definedName>
    <definedName name="HU">'[2]2.1'!#REF!</definedName>
    <definedName name="indmat">'[2]2.1'!#REF!</definedName>
    <definedName name="indmo">'[2]2.1'!#REF!</definedName>
    <definedName name="ITENS">#REF!</definedName>
    <definedName name="koko">#REF!</definedName>
    <definedName name="mat.pint">#REF!</definedName>
    <definedName name="número">#REF!</definedName>
    <definedName name="portaria">#REF!</definedName>
    <definedName name="PreçosCORSAN">#REF!</definedName>
    <definedName name="rr1c">#REF!</definedName>
    <definedName name="serger">#REF!</definedName>
    <definedName name="SINAPI2">#REF!</definedName>
    <definedName name="TABSERVIÇOS2">[6]Base_Set2010!$D$1:$K$11263</definedName>
    <definedName name="TESTE">[7]APOIO!$A$1:$B$103</definedName>
    <definedName name="Total1001">#REF!</definedName>
    <definedName name="Total1002">#REF!</definedName>
    <definedName name="Total1004">#REF!</definedName>
    <definedName name="Total1004a">#REF!</definedName>
    <definedName name="Total1004b">#REF!</definedName>
    <definedName name="Total1005">#REF!</definedName>
    <definedName name="Total1006">#REF!</definedName>
    <definedName name="Total1007">#REF!</definedName>
    <definedName name="Total1008">#REF!</definedName>
    <definedName name="Total1009">#REF!</definedName>
    <definedName name="Total1010">#REF!</definedName>
    <definedName name="Total1010a">#REF!</definedName>
    <definedName name="Total1010b">#REF!</definedName>
    <definedName name="Total1015">#REF!</definedName>
    <definedName name="Total1016">#REF!</definedName>
    <definedName name="Total1016b">#REF!</definedName>
    <definedName name="Total1016c">#REF!</definedName>
    <definedName name="total1017">#REF!</definedName>
    <definedName name="Total1017b">#REF!</definedName>
    <definedName name="total1018">#REF!</definedName>
    <definedName name="Total1019">#REF!</definedName>
    <definedName name="Total201A">'[2]2.1'!#REF!</definedName>
    <definedName name="Total201c">#REF!</definedName>
    <definedName name="Total201c2">'[2]2.1'!$I$33</definedName>
    <definedName name="Total201c3">'[2]2.1'!$I$33</definedName>
    <definedName name="Total301">#REF!</definedName>
    <definedName name="Total401">#REF!</definedName>
    <definedName name="Total501a">#REF!</definedName>
    <definedName name="Total502">#REF!</definedName>
    <definedName name="Total503">#REF!</definedName>
    <definedName name="Total504">#REF!</definedName>
    <definedName name="Total506">#REF!</definedName>
    <definedName name="Total507">#REF!</definedName>
    <definedName name="Total508">#REF!</definedName>
    <definedName name="total509">#REF!</definedName>
    <definedName name="Total510">#REF!</definedName>
    <definedName name="Total511">#REF!</definedName>
    <definedName name="Total701">#REF!</definedName>
    <definedName name="Total704">#REF!</definedName>
    <definedName name="Total705">#REF!</definedName>
    <definedName name="Total712">#REF!</definedName>
    <definedName name="Total801">#REF!</definedName>
    <definedName name="Total802">#REF!</definedName>
    <definedName name="Total901">#REF!</definedName>
    <definedName name="trans.cap">#REF!</definedName>
    <definedName name="trans.cbuq">#REF!</definedName>
    <definedName name="trans.pint">#REF!</definedName>
    <definedName name="trans.rr1c">#REF!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J66" i="1"/>
  <c r="B13" i="2"/>
  <c r="C13" s="1"/>
  <c r="B12"/>
  <c r="C12" s="1"/>
  <c r="B11"/>
  <c r="C11" s="1"/>
  <c r="B10"/>
  <c r="C10" s="1"/>
  <c r="B9"/>
  <c r="C9" s="1"/>
  <c r="B6"/>
  <c r="A13"/>
  <c r="A12"/>
  <c r="A11"/>
  <c r="A10"/>
  <c r="A9"/>
  <c r="E40" i="1" l="1"/>
  <c r="H40" s="1"/>
  <c r="H42" s="1"/>
  <c r="E54"/>
  <c r="E61"/>
  <c r="E60"/>
  <c r="I60"/>
  <c r="H60"/>
  <c r="J60" s="1"/>
  <c r="F60"/>
  <c r="E59"/>
  <c r="E52"/>
  <c r="E62"/>
  <c r="H62" s="1"/>
  <c r="E53"/>
  <c r="F53" s="1"/>
  <c r="I53" s="1"/>
  <c r="E51"/>
  <c r="H51" s="1"/>
  <c r="E50"/>
  <c r="E35"/>
  <c r="H35" s="1"/>
  <c r="E45"/>
  <c r="E34"/>
  <c r="E29"/>
  <c r="H29" s="1"/>
  <c r="E28"/>
  <c r="H28" s="1"/>
  <c r="F29"/>
  <c r="I29" s="1"/>
  <c r="J29" l="1"/>
  <c r="H53"/>
  <c r="J53" s="1"/>
  <c r="F62"/>
  <c r="I62" s="1"/>
  <c r="J62" s="1"/>
  <c r="F51"/>
  <c r="I51" s="1"/>
  <c r="J51" s="1"/>
  <c r="F35"/>
  <c r="I35" s="1"/>
  <c r="J35" s="1"/>
  <c r="F28"/>
  <c r="I28" s="1"/>
  <c r="J28" s="1"/>
  <c r="F40"/>
  <c r="I40" s="1"/>
  <c r="I42" s="1"/>
  <c r="E27"/>
  <c r="H27" s="1"/>
  <c r="E26"/>
  <c r="F26" s="1"/>
  <c r="I26" s="1"/>
  <c r="E25"/>
  <c r="E24"/>
  <c r="E23"/>
  <c r="E17"/>
  <c r="H26" l="1"/>
  <c r="J26" s="1"/>
  <c r="F27"/>
  <c r="I27" s="1"/>
  <c r="J27" s="1"/>
  <c r="J40"/>
  <c r="J42" s="1"/>
  <c r="E10"/>
  <c r="F61" l="1"/>
  <c r="I61" s="1"/>
  <c r="F59"/>
  <c r="I59" s="1"/>
  <c r="H52"/>
  <c r="F45"/>
  <c r="I45" s="1"/>
  <c r="I47" s="1"/>
  <c r="F50"/>
  <c r="I50" s="1"/>
  <c r="H54"/>
  <c r="H34"/>
  <c r="H37" s="1"/>
  <c r="H50" l="1"/>
  <c r="H56" s="1"/>
  <c r="H61"/>
  <c r="J61" s="1"/>
  <c r="F54"/>
  <c r="I54" s="1"/>
  <c r="J54" s="1"/>
  <c r="H45"/>
  <c r="J45" s="1"/>
  <c r="J47" s="1"/>
  <c r="H59"/>
  <c r="F52"/>
  <c r="I52" s="1"/>
  <c r="F34"/>
  <c r="I34" s="1"/>
  <c r="I37" s="1"/>
  <c r="J50" l="1"/>
  <c r="H47"/>
  <c r="I56"/>
  <c r="H64"/>
  <c r="I64"/>
  <c r="J34"/>
  <c r="J37" s="1"/>
  <c r="J59"/>
  <c r="J64" s="1"/>
  <c r="J52"/>
  <c r="J56" l="1"/>
  <c r="F17"/>
  <c r="I17" s="1"/>
  <c r="H17" l="1"/>
  <c r="J17" s="1"/>
  <c r="H24" l="1"/>
  <c r="H10" l="1"/>
  <c r="H12" s="1"/>
  <c r="A7" i="2"/>
  <c r="F24" i="1" l="1"/>
  <c r="I24" s="1"/>
  <c r="F23"/>
  <c r="I23" s="1"/>
  <c r="H23" l="1"/>
  <c r="J23" l="1"/>
  <c r="A8" i="2"/>
  <c r="A6"/>
  <c r="F25" i="1"/>
  <c r="I25" s="1"/>
  <c r="I31" s="1"/>
  <c r="I19" l="1"/>
  <c r="F10"/>
  <c r="H25"/>
  <c r="J25" l="1"/>
  <c r="H31"/>
  <c r="J19"/>
  <c r="H19"/>
  <c r="I10"/>
  <c r="I12" s="1"/>
  <c r="J24"/>
  <c r="J31" l="1"/>
  <c r="J10"/>
  <c r="I66"/>
  <c r="B7" i="2"/>
  <c r="B14" l="1"/>
  <c r="J12" i="1"/>
  <c r="B8" i="2"/>
  <c r="C8" s="1"/>
  <c r="C7"/>
  <c r="C14" l="1"/>
  <c r="C6"/>
  <c r="H66" i="1" l="1"/>
</calcChain>
</file>

<file path=xl/sharedStrings.xml><?xml version="1.0" encoding="utf-8"?>
<sst xmlns="http://schemas.openxmlformats.org/spreadsheetml/2006/main" count="118" uniqueCount="80">
  <si>
    <t>Item/Descrição</t>
  </si>
  <si>
    <t>Qtd.</t>
  </si>
  <si>
    <t>Un</t>
  </si>
  <si>
    <t>Total</t>
  </si>
  <si>
    <t>SINAPI</t>
  </si>
  <si>
    <t>.1</t>
  </si>
  <si>
    <t>.2</t>
  </si>
  <si>
    <t>Total de SERVIÇOS PRELIMINARES</t>
  </si>
  <si>
    <t>Total do Orçamento</t>
  </si>
  <si>
    <t>PREFEITURA MUNICIPAL DE TAQUARI - CGC: 88.067.780/0001-38</t>
  </si>
  <si>
    <t>Descrição</t>
  </si>
  <si>
    <t xml:space="preserve">Total </t>
  </si>
  <si>
    <t>MÊS 1</t>
  </si>
  <si>
    <t>1.SERVIÇOS PRELIMINARES</t>
  </si>
  <si>
    <t>74209/1</t>
  </si>
  <si>
    <t>Sergio Vinicius Noschang</t>
  </si>
  <si>
    <t>TOTAL GERAL</t>
  </si>
  <si>
    <t>.3</t>
  </si>
  <si>
    <t>.4</t>
  </si>
  <si>
    <t>Rua Osvaldo Aranha, 1790 - Taquari - RS - FONE: (51)3653-6200 - email: planejamento@taquari.rs.gov.br</t>
  </si>
  <si>
    <t xml:space="preserve">CRONOGRAMA </t>
  </si>
  <si>
    <t>Material</t>
  </si>
  <si>
    <t>Mão de Obra</t>
  </si>
  <si>
    <t xml:space="preserve">R$ Total </t>
  </si>
  <si>
    <t xml:space="preserve">R$ Unitário </t>
  </si>
  <si>
    <t>Engenheiro Civil - CREA RS 152282</t>
  </si>
  <si>
    <t>PLACA DE OBRA EM CHAPA DE ACO GALVANIZADO (1,50 m x 1,00 m)</t>
  </si>
  <si>
    <r>
      <rPr>
        <b/>
        <sz val="9"/>
        <rFont val="Arial"/>
        <family val="2"/>
      </rPr>
      <t xml:space="preserve">Obra: </t>
    </r>
    <r>
      <rPr>
        <sz val="9"/>
        <rFont val="Arial"/>
        <family val="2"/>
      </rPr>
      <t>Cobertura em Estrutura Metálica da Escola Municipal de Ensino Infantil São José</t>
    </r>
  </si>
  <si>
    <r>
      <t xml:space="preserve">Área: </t>
    </r>
    <r>
      <rPr>
        <sz val="9"/>
        <rFont val="Arial"/>
        <family val="2"/>
      </rPr>
      <t>100,57 m²</t>
    </r>
  </si>
  <si>
    <t>2. DEMOLIÇÃO</t>
  </si>
  <si>
    <t>Total de DEMOLIÇÃO</t>
  </si>
  <si>
    <t>3. FUNDAÇÕES</t>
  </si>
  <si>
    <t>Total de FUNDAÇÕES</t>
  </si>
  <si>
    <t>Total de FECHAMENTO</t>
  </si>
  <si>
    <t>Total de COBERTURA</t>
  </si>
  <si>
    <t>4. ESTRUTURA</t>
  </si>
  <si>
    <t>Total de INSTALAÇÕES ELÉTRICAS</t>
  </si>
  <si>
    <t>Total de ESTRUTURA</t>
  </si>
  <si>
    <t>DEMOLIÇÃO DE PISO CONCRETO EXISTENTE</t>
  </si>
  <si>
    <t>ESTACA ESCAVADA MECANICAMENTE, SEM FLUIDO ESTABILIZANTE, COM 25 CM DE DIÂMETRO, ATÉ 9 M DE COMPRIMENTO, CONCRETO FCK=20MPA LANÇADO MANUALMENTE.</t>
  </si>
  <si>
    <t xml:space="preserve">ARMAÇÃO DE ESTACAS E VIGAS UTILIZANDO AÇO CA-50 DE 10,0 MM - MONTAGEM. </t>
  </si>
  <si>
    <t>M</t>
  </si>
  <si>
    <t>ESCAVAÇÃO MANUAL PARA BLOCO DE COROAMENTO COM PREVISÃO DE FÔRMA</t>
  </si>
  <si>
    <t>M³</t>
  </si>
  <si>
    <t>KG</t>
  </si>
  <si>
    <t xml:space="preserve">ARMAÇÃO DE ESTACAS E VIGA UTILIZANDO AÇO CA-60 DE 5,0 MM - MONTAGEM. </t>
  </si>
  <si>
    <t xml:space="preserve">CONCRETO FCK = 20MPA, TRAÇO 1:2,7:3 (CIMENTO/ AREIA MÉDIA/ BRITA 1)  - PREPARO MECÂNICO COM BETONEIRA 400 L. </t>
  </si>
  <si>
    <t>FABRICAÇÃO, MONTAGEM E DESMONTAGEM DE FÔRMA PARA BLOCO DE COROAMENTO, EM MADEIRA SERRADA, E=25 MM.</t>
  </si>
  <si>
    <t>CABO DE COBRE FLEXÍVEL ISOLADO, 2,5 MM², ANTI-CHAMA 450/750 V, PARA CIRCUITOS TERMINAIS - FORNECIMENTO E INSTALAÇÃO.</t>
  </si>
  <si>
    <t>.5</t>
  </si>
  <si>
    <t>INTERRUPTOR EMBUTIR SIMPLES-INCLUSIVE CAIXA 2x4"</t>
  </si>
  <si>
    <t>CALHA EM CHAPA DE AÇO GALVANIZADO NÚMERO 24, DESENVOLVIMENTO DE 50 CM, INCLUSO TRANSPORTE VERTICAL.</t>
  </si>
  <si>
    <r>
      <rPr>
        <b/>
        <sz val="9"/>
        <rFont val="Arial"/>
        <family val="2"/>
      </rPr>
      <t xml:space="preserve">SINAPI DATA BASE </t>
    </r>
    <r>
      <rPr>
        <sz val="9"/>
        <rFont val="Arial"/>
        <family val="2"/>
      </rPr>
      <t>- SETEMBRO DE 2019  (NÃO DESONERADO)</t>
    </r>
  </si>
  <si>
    <t>Taquari, 31 de outubro de 2019</t>
  </si>
  <si>
    <t>5. REPARO EM CONCRETO</t>
  </si>
  <si>
    <t>Total de REPARO EM CONCRETO</t>
  </si>
  <si>
    <t>.6</t>
  </si>
  <si>
    <t>.7</t>
  </si>
  <si>
    <t>ARMAÇÃO DE BLOCO UTILIZANDO AÇO CA-50 DE 10 MM</t>
  </si>
  <si>
    <t>UN.</t>
  </si>
  <si>
    <t>PESQUISA</t>
  </si>
  <si>
    <t>PILARES METÁLICOS SEÇÃO 15X15 E ALTURA DE 3,00 METROS</t>
  </si>
  <si>
    <r>
      <rPr>
        <b/>
        <sz val="9"/>
        <rFont val="Arial"/>
        <family val="2"/>
      </rPr>
      <t xml:space="preserve">BDI da obra: </t>
    </r>
    <r>
      <rPr>
        <sz val="9"/>
        <rFont val="Arial"/>
        <family val="2"/>
      </rPr>
      <t>20,72%</t>
    </r>
  </si>
  <si>
    <t>FECHAMENTO LATERAL EM TELHA METÁLICA (AÇO/ALIMÍNIO)</t>
  </si>
  <si>
    <t>TRELIÇA METÁLICA, PERFIL U 40X75X40 EXTERNO E PERFIL U 30X68X30 INTERNO, MEDINDO 11,30X0,50 M</t>
  </si>
  <si>
    <t>ESTRUTURA METÁLICA PARA TELHADO - TESOURA EM PERFIL U 40X75X40 EXTERNO PERFIL U 30X68X30 INTERNO</t>
  </si>
  <si>
    <t xml:space="preserve">TERÇAS METÁLICAS PARA FIXAÇÃO DE TELHAS EM PERFIL U 40X75X40 </t>
  </si>
  <si>
    <t>TELHAMENTO COM TELHA METÁLICA TERMOACÚSTICA E = 30 MM, INCLUSO IÇAMENTO</t>
  </si>
  <si>
    <t>ELETRODUTO PVC RIGIDO ROSCAVEL DN 32 MM, EM FORRO, FORNECIMENTO E INSTALAÇÃO</t>
  </si>
  <si>
    <t>LUMINÁRIA LINEAR, DE SOBREPOR, COM 1 LÂMPADA TUBULAR 18W - FORNECIMENTO E INSTALAÇÃO.</t>
  </si>
  <si>
    <t>TUBO PVC, ÁGUA PLUVIAL, DN 100 MM, FORNECIMENTO E INSTALAÇÃO</t>
  </si>
  <si>
    <t>LASTRO DE CONCRETO MAGRO, APLICADO EM PISOS E= 5CM</t>
  </si>
  <si>
    <t>M²</t>
  </si>
  <si>
    <t>6. FECHAMENTO</t>
  </si>
  <si>
    <t>7. COBERTURA</t>
  </si>
  <si>
    <t>8. INSTALAÇÕES ELÉTRICAS</t>
  </si>
  <si>
    <r>
      <t xml:space="preserve">ENCARGOS SOCIAIS: </t>
    </r>
    <r>
      <rPr>
        <sz val="9"/>
        <rFont val="Arial"/>
        <family val="2"/>
      </rPr>
      <t>70,28%(MENSALISTA) 112,66%(HORISTA)</t>
    </r>
  </si>
  <si>
    <t>Taquari, 31 de outubro de 2019.</t>
  </si>
  <si>
    <t>Prazo: 1 mês</t>
  </si>
  <si>
    <t>Obra: Cobertura Metálica da EMEI São José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</si>
</sst>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##,###,##0.00"/>
    <numFmt numFmtId="169" formatCode="_-[$R$-416]* #,##0.00_-;\-[$R$-416]* #,##0.00_-;_-[$R$-416]* &quot;-&quot;??_-;_-@_-"/>
    <numFmt numFmtId="170" formatCode="_-[$R$-416]\ * #,##0.00_-;\-[$R$-416]\ * #,##0.00_-;_-[$R$-416]\ * &quot;-&quot;??_-;_-@_-"/>
    <numFmt numFmtId="171" formatCode="0.0"/>
    <numFmt numFmtId="172" formatCode="[$-F800]dddd\,\ mmmm\ dd\,\ yyyy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166" fontId="8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0" fontId="18" fillId="18" borderId="20" applyNumberFormat="0" applyAlignment="0" applyProtection="0"/>
    <xf numFmtId="0" fontId="19" fillId="19" borderId="21" applyNumberFormat="0" applyAlignment="0" applyProtection="0"/>
    <xf numFmtId="0" fontId="20" fillId="0" borderId="22" applyNumberFormat="0" applyFill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1" fillId="9" borderId="20" applyNumberFormat="0" applyAlignment="0" applyProtection="0"/>
    <xf numFmtId="0" fontId="22" fillId="5" borderId="0" applyNumberFormat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3" fillId="24" borderId="0" applyNumberFormat="0" applyBorder="0" applyAlignment="0" applyProtection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8" fillId="0" borderId="0"/>
    <xf numFmtId="0" fontId="8" fillId="25" borderId="23" applyNumberFormat="0" applyFont="0" applyAlignment="0" applyProtection="0"/>
    <xf numFmtId="0" fontId="25" fillId="0" borderId="24" applyNumberFormat="0" applyFont="0" applyBorder="0" applyAlignment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18" borderId="25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30" fillId="0" borderId="27" applyNumberFormat="0" applyFill="0" applyAlignment="0" applyProtection="0"/>
    <xf numFmtId="0" fontId="31" fillId="0" borderId="2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29" applyNumberFormat="0" applyFill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4" fontId="0" fillId="0" borderId="0" xfId="0" applyNumberFormat="1"/>
    <xf numFmtId="0" fontId="9" fillId="0" borderId="0" xfId="0" applyFont="1" applyBorder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9" fillId="0" borderId="2" xfId="0" applyFont="1" applyBorder="1"/>
    <xf numFmtId="0" fontId="9" fillId="0" borderId="1" xfId="0" applyFont="1" applyBorder="1"/>
    <xf numFmtId="0" fontId="9" fillId="0" borderId="8" xfId="0" applyFont="1" applyBorder="1" applyAlignment="1">
      <alignment horizontal="center"/>
    </xf>
    <xf numFmtId="169" fontId="9" fillId="0" borderId="9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Alignment="1">
      <alignment vertical="top"/>
    </xf>
    <xf numFmtId="169" fontId="9" fillId="0" borderId="0" xfId="0" applyNumberFormat="1" applyFont="1"/>
    <xf numFmtId="169" fontId="9" fillId="0" borderId="9" xfId="0" applyNumberFormat="1" applyFont="1" applyBorder="1" applyAlignment="1">
      <alignment horizontal="center"/>
    </xf>
    <xf numFmtId="169" fontId="9" fillId="0" borderId="0" xfId="0" applyNumberFormat="1" applyFont="1" applyFill="1" applyBorder="1"/>
    <xf numFmtId="169" fontId="9" fillId="0" borderId="0" xfId="2" applyNumberFormat="1" applyFont="1"/>
    <xf numFmtId="169" fontId="9" fillId="0" borderId="0" xfId="2" applyNumberFormat="1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0" borderId="0" xfId="0" applyFont="1"/>
    <xf numFmtId="0" fontId="10" fillId="2" borderId="8" xfId="0" applyFont="1" applyFill="1" applyBorder="1"/>
    <xf numFmtId="0" fontId="10" fillId="2" borderId="7" xfId="0" applyFont="1" applyFill="1" applyBorder="1"/>
    <xf numFmtId="0" fontId="10" fillId="2" borderId="6" xfId="0" applyFont="1" applyFill="1" applyBorder="1"/>
    <xf numFmtId="0" fontId="12" fillId="0" borderId="0" xfId="0" applyFont="1" applyFill="1" applyBorder="1"/>
    <xf numFmtId="166" fontId="3" fillId="0" borderId="0" xfId="2" applyAlignment="1">
      <alignment horizontal="right"/>
    </xf>
    <xf numFmtId="170" fontId="9" fillId="0" borderId="0" xfId="0" applyNumberFormat="1" applyFont="1" applyFill="1"/>
    <xf numFmtId="0" fontId="10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2" borderId="7" xfId="0" applyFont="1" applyFill="1" applyBorder="1" applyAlignment="1">
      <alignment horizontal="center"/>
    </xf>
    <xf numFmtId="169" fontId="13" fillId="2" borderId="7" xfId="0" applyNumberFormat="1" applyFont="1" applyFill="1" applyBorder="1" applyAlignment="1">
      <alignment horizontal="right" vertical="top"/>
    </xf>
    <xf numFmtId="0" fontId="12" fillId="0" borderId="13" xfId="0" applyFont="1" applyFill="1" applyBorder="1"/>
    <xf numFmtId="4" fontId="14" fillId="0" borderId="0" xfId="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69" fontId="12" fillId="0" borderId="0" xfId="2" applyNumberFormat="1" applyFont="1" applyFill="1" applyBorder="1" applyAlignment="1">
      <alignment horizontal="right" vertical="top"/>
    </xf>
    <xf numFmtId="169" fontId="12" fillId="0" borderId="0" xfId="0" applyNumberFormat="1" applyFont="1" applyFill="1" applyBorder="1" applyAlignment="1">
      <alignment horizontal="right" vertical="top"/>
    </xf>
    <xf numFmtId="1" fontId="12" fillId="0" borderId="14" xfId="0" applyNumberFormat="1" applyFont="1" applyFill="1" applyBorder="1" applyAlignment="1">
      <alignment horizontal="center"/>
    </xf>
    <xf numFmtId="4" fontId="14" fillId="2" borderId="7" xfId="2" applyNumberFormat="1" applyFont="1" applyFill="1" applyBorder="1" applyAlignment="1">
      <alignment horizontal="right"/>
    </xf>
    <xf numFmtId="169" fontId="13" fillId="2" borderId="7" xfId="2" applyNumberFormat="1" applyFont="1" applyFill="1" applyBorder="1" applyAlignment="1">
      <alignment horizontal="right" vertical="top"/>
    </xf>
    <xf numFmtId="1" fontId="13" fillId="2" borderId="16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9" fontId="13" fillId="0" borderId="0" xfId="2" applyNumberFormat="1" applyFont="1" applyFill="1" applyBorder="1" applyAlignment="1">
      <alignment horizontal="right" vertical="top"/>
    </xf>
    <xf numFmtId="169" fontId="13" fillId="0" borderId="0" xfId="0" applyNumberFormat="1" applyFont="1" applyFill="1" applyBorder="1" applyAlignment="1">
      <alignment horizontal="right" vertical="top"/>
    </xf>
    <xf numFmtId="166" fontId="14" fillId="0" borderId="0" xfId="2" applyFont="1" applyFill="1" applyBorder="1" applyAlignment="1">
      <alignment horizontal="right"/>
    </xf>
    <xf numFmtId="0" fontId="9" fillId="0" borderId="0" xfId="0" applyFont="1" applyFill="1" applyBorder="1"/>
    <xf numFmtId="169" fontId="9" fillId="0" borderId="1" xfId="0" applyNumberFormat="1" applyFont="1" applyBorder="1" applyAlignment="1">
      <alignment horizontal="center" vertical="center"/>
    </xf>
    <xf numFmtId="169" fontId="10" fillId="2" borderId="8" xfId="0" applyNumberFormat="1" applyFont="1" applyFill="1" applyBorder="1" applyAlignment="1">
      <alignment horizontal="right" vertical="top"/>
    </xf>
    <xf numFmtId="1" fontId="13" fillId="0" borderId="14" xfId="0" applyNumberFormat="1" applyFont="1" applyFill="1" applyBorder="1" applyAlignment="1">
      <alignment horizontal="center"/>
    </xf>
    <xf numFmtId="166" fontId="0" fillId="2" borderId="7" xfId="2" applyFont="1" applyFill="1" applyBorder="1" applyAlignment="1">
      <alignment horizontal="right"/>
    </xf>
    <xf numFmtId="0" fontId="10" fillId="2" borderId="7" xfId="0" applyFont="1" applyFill="1" applyBorder="1" applyAlignment="1">
      <alignment horizontal="center"/>
    </xf>
    <xf numFmtId="169" fontId="10" fillId="2" borderId="7" xfId="2" applyNumberFormat="1" applyFont="1" applyFill="1" applyBorder="1" applyAlignment="1">
      <alignment horizontal="right" vertical="top"/>
    </xf>
    <xf numFmtId="169" fontId="10" fillId="2" borderId="16" xfId="0" applyNumberFormat="1" applyFont="1" applyFill="1" applyBorder="1" applyAlignment="1">
      <alignment horizontal="right" vertical="top"/>
    </xf>
    <xf numFmtId="1" fontId="10" fillId="2" borderId="8" xfId="0" applyNumberFormat="1" applyFont="1" applyFill="1" applyBorder="1" applyAlignment="1">
      <alignment horizontal="center"/>
    </xf>
    <xf numFmtId="166" fontId="0" fillId="0" borderId="0" xfId="2" applyFont="1" applyAlignment="1">
      <alignment horizontal="right"/>
    </xf>
    <xf numFmtId="169" fontId="9" fillId="0" borderId="0" xfId="2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9" fillId="0" borderId="8" xfId="2" applyNumberFormat="1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left" vertical="top" wrapText="1"/>
    </xf>
    <xf numFmtId="166" fontId="0" fillId="0" borderId="0" xfId="2" applyFont="1" applyFill="1" applyAlignment="1">
      <alignment horizontal="right"/>
    </xf>
    <xf numFmtId="0" fontId="11" fillId="0" borderId="0" xfId="0" applyFont="1" applyFill="1"/>
    <xf numFmtId="166" fontId="0" fillId="0" borderId="7" xfId="2" applyFont="1" applyBorder="1" applyAlignment="1">
      <alignment horizontal="right"/>
    </xf>
    <xf numFmtId="166" fontId="0" fillId="0" borderId="8" xfId="2" applyFont="1" applyBorder="1" applyAlignment="1">
      <alignment horizontal="right"/>
    </xf>
    <xf numFmtId="166" fontId="14" fillId="0" borderId="0" xfId="2" applyFont="1" applyAlignment="1">
      <alignment horizontal="right"/>
    </xf>
    <xf numFmtId="0" fontId="12" fillId="0" borderId="0" xfId="0" applyFont="1" applyAlignment="1">
      <alignment horizontal="center"/>
    </xf>
    <xf numFmtId="169" fontId="12" fillId="0" borderId="0" xfId="2" applyNumberFormat="1" applyFont="1"/>
    <xf numFmtId="169" fontId="12" fillId="0" borderId="0" xfId="0" applyNumberFormat="1" applyFont="1"/>
    <xf numFmtId="0" fontId="12" fillId="0" borderId="0" xfId="0" applyFont="1" applyBorder="1" applyAlignment="1">
      <alignment horizontal="center"/>
    </xf>
    <xf numFmtId="166" fontId="14" fillId="0" borderId="0" xfId="2" applyFont="1" applyFill="1" applyAlignment="1">
      <alignment horizontal="right"/>
    </xf>
    <xf numFmtId="0" fontId="6" fillId="0" borderId="0" xfId="0" applyFont="1" applyFill="1" applyBorder="1" applyAlignment="1"/>
    <xf numFmtId="0" fontId="33" fillId="0" borderId="2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4" fillId="0" borderId="0" xfId="0" applyFont="1"/>
    <xf numFmtId="0" fontId="33" fillId="0" borderId="3" xfId="0" applyFont="1" applyFill="1" applyBorder="1" applyAlignment="1"/>
    <xf numFmtId="4" fontId="33" fillId="0" borderId="4" xfId="0" applyNumberFormat="1" applyFont="1" applyFill="1" applyBorder="1" applyAlignment="1"/>
    <xf numFmtId="4" fontId="35" fillId="0" borderId="3" xfId="0" applyNumberFormat="1" applyFont="1" applyFill="1" applyBorder="1" applyAlignment="1"/>
    <xf numFmtId="10" fontId="35" fillId="0" borderId="3" xfId="0" applyNumberFormat="1" applyFont="1" applyFill="1" applyBorder="1" applyAlignment="1"/>
    <xf numFmtId="0" fontId="33" fillId="0" borderId="8" xfId="0" applyFont="1" applyFill="1" applyBorder="1" applyAlignment="1"/>
    <xf numFmtId="4" fontId="33" fillId="0" borderId="8" xfId="0" applyNumberFormat="1" applyFont="1" applyFill="1" applyBorder="1" applyAlignment="1"/>
    <xf numFmtId="168" fontId="33" fillId="0" borderId="8" xfId="0" applyNumberFormat="1" applyFont="1" applyFill="1" applyBorder="1" applyAlignment="1"/>
    <xf numFmtId="0" fontId="9" fillId="0" borderId="0" xfId="0" applyFont="1" applyAlignment="1">
      <alignment horizontal="center"/>
    </xf>
    <xf numFmtId="169" fontId="9" fillId="0" borderId="8" xfId="2" applyNumberFormat="1" applyFont="1" applyBorder="1" applyAlignment="1">
      <alignment horizontal="center"/>
    </xf>
    <xf numFmtId="0" fontId="13" fillId="0" borderId="0" xfId="0" applyFont="1"/>
    <xf numFmtId="166" fontId="14" fillId="0" borderId="0" xfId="2" applyFont="1" applyBorder="1" applyAlignment="1">
      <alignment horizontal="right"/>
    </xf>
    <xf numFmtId="0" fontId="13" fillId="0" borderId="0" xfId="0" applyFont="1" applyFill="1"/>
    <xf numFmtId="10" fontId="13" fillId="0" borderId="0" xfId="0" applyNumberFormat="1" applyFont="1"/>
    <xf numFmtId="0" fontId="36" fillId="0" borderId="0" xfId="0" applyFont="1"/>
    <xf numFmtId="0" fontId="12" fillId="0" borderId="5" xfId="0" applyFont="1" applyBorder="1"/>
    <xf numFmtId="166" fontId="14" fillId="2" borderId="19" xfId="2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/>
    </xf>
    <xf numFmtId="169" fontId="13" fillId="2" borderId="10" xfId="2" applyNumberFormat="1" applyFont="1" applyFill="1" applyBorder="1" applyAlignment="1">
      <alignment horizontal="right"/>
    </xf>
    <xf numFmtId="169" fontId="13" fillId="2" borderId="10" xfId="0" applyNumberFormat="1" applyFont="1" applyFill="1" applyBorder="1" applyAlignment="1">
      <alignment horizontal="right"/>
    </xf>
    <xf numFmtId="169" fontId="13" fillId="2" borderId="10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0" fontId="12" fillId="0" borderId="12" xfId="0" applyFont="1" applyFill="1" applyBorder="1"/>
    <xf numFmtId="4" fontId="14" fillId="0" borderId="7" xfId="2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/>
    </xf>
    <xf numFmtId="169" fontId="12" fillId="0" borderId="7" xfId="2" applyNumberFormat="1" applyFont="1" applyFill="1" applyBorder="1" applyAlignment="1">
      <alignment horizontal="right" vertical="top"/>
    </xf>
    <xf numFmtId="169" fontId="12" fillId="0" borderId="7" xfId="0" applyNumberFormat="1" applyFont="1" applyFill="1" applyBorder="1" applyAlignment="1">
      <alignment horizontal="right" vertical="top"/>
    </xf>
    <xf numFmtId="1" fontId="12" fillId="0" borderId="17" xfId="0" applyNumberFormat="1" applyFont="1" applyFill="1" applyBorder="1" applyAlignment="1">
      <alignment horizontal="center"/>
    </xf>
    <xf numFmtId="0" fontId="13" fillId="2" borderId="6" xfId="0" applyFont="1" applyFill="1" applyBorder="1"/>
    <xf numFmtId="0" fontId="13" fillId="2" borderId="8" xfId="0" applyFont="1" applyFill="1" applyBorder="1"/>
    <xf numFmtId="0" fontId="12" fillId="0" borderId="0" xfId="0" applyFont="1"/>
    <xf numFmtId="169" fontId="12" fillId="0" borderId="0" xfId="0" applyNumberFormat="1" applyFont="1" applyFill="1" applyAlignment="1">
      <alignment horizontal="center"/>
    </xf>
    <xf numFmtId="169" fontId="12" fillId="0" borderId="0" xfId="2" applyNumberFormat="1" applyFont="1" applyFill="1" applyBorder="1"/>
    <xf numFmtId="169" fontId="12" fillId="0" borderId="0" xfId="0" applyNumberFormat="1" applyFont="1" applyFill="1" applyBorder="1"/>
    <xf numFmtId="16" fontId="0" fillId="0" borderId="0" xfId="0" applyNumberFormat="1"/>
    <xf numFmtId="4" fontId="3" fillId="26" borderId="8" xfId="2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169" fontId="9" fillId="0" borderId="8" xfId="0" applyNumberFormat="1" applyFont="1" applyFill="1" applyBorder="1" applyAlignment="1">
      <alignment horizontal="right" vertical="center"/>
    </xf>
    <xf numFmtId="169" fontId="9" fillId="0" borderId="8" xfId="1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center" vertical="center"/>
    </xf>
    <xf numFmtId="169" fontId="9" fillId="0" borderId="8" xfId="2" applyNumberFormat="1" applyFont="1" applyFill="1" applyBorder="1" applyAlignment="1">
      <alignment horizontal="right" vertical="center"/>
    </xf>
    <xf numFmtId="169" fontId="9" fillId="26" borderId="8" xfId="1" applyNumberFormat="1" applyFont="1" applyFill="1" applyBorder="1" applyAlignment="1">
      <alignment horizontal="left" vertical="center"/>
    </xf>
    <xf numFmtId="1" fontId="9" fillId="0" borderId="8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 vertical="center"/>
    </xf>
    <xf numFmtId="169" fontId="9" fillId="3" borderId="8" xfId="2" applyNumberFormat="1" applyFont="1" applyFill="1" applyBorder="1" applyAlignment="1">
      <alignment horizontal="right" vertical="center"/>
    </xf>
    <xf numFmtId="169" fontId="9" fillId="26" borderId="8" xfId="0" applyNumberFormat="1" applyFont="1" applyFill="1" applyBorder="1" applyAlignment="1">
      <alignment horizontal="right" vertical="center"/>
    </xf>
    <xf numFmtId="169" fontId="10" fillId="2" borderId="7" xfId="0" applyNumberFormat="1" applyFont="1" applyFill="1" applyBorder="1" applyAlignment="1">
      <alignment horizontal="right" vertical="top"/>
    </xf>
    <xf numFmtId="1" fontId="10" fillId="2" borderId="30" xfId="0" applyNumberFormat="1" applyFont="1" applyFill="1" applyBorder="1" applyAlignment="1">
      <alignment horizontal="center"/>
    </xf>
    <xf numFmtId="166" fontId="3" fillId="0" borderId="0" xfId="2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69" fontId="9" fillId="0" borderId="0" xfId="2" applyNumberFormat="1" applyFont="1" applyFill="1" applyBorder="1" applyAlignment="1">
      <alignment horizontal="right" vertical="top"/>
    </xf>
    <xf numFmtId="169" fontId="9" fillId="0" borderId="0" xfId="0" applyNumberFormat="1" applyFont="1" applyFill="1" applyBorder="1" applyAlignment="1">
      <alignment horizontal="right" vertical="top"/>
    </xf>
    <xf numFmtId="1" fontId="9" fillId="0" borderId="14" xfId="0" applyNumberFormat="1" applyFont="1" applyFill="1" applyBorder="1" applyAlignment="1">
      <alignment horizontal="center"/>
    </xf>
    <xf numFmtId="166" fontId="3" fillId="2" borderId="7" xfId="2" applyFont="1" applyFill="1" applyBorder="1" applyAlignment="1">
      <alignment horizontal="right"/>
    </xf>
    <xf numFmtId="0" fontId="13" fillId="3" borderId="0" xfId="0" applyFont="1" applyFill="1" applyBorder="1"/>
    <xf numFmtId="166" fontId="14" fillId="3" borderId="0" xfId="2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169" fontId="13" fillId="3" borderId="0" xfId="2" applyNumberFormat="1" applyFont="1" applyFill="1" applyBorder="1" applyAlignment="1">
      <alignment horizontal="right" vertical="top"/>
    </xf>
    <xf numFmtId="169" fontId="13" fillId="3" borderId="0" xfId="0" applyNumberFormat="1" applyFont="1" applyFill="1" applyBorder="1" applyAlignment="1">
      <alignment horizontal="right" vertical="top"/>
    </xf>
    <xf numFmtId="1" fontId="13" fillId="3" borderId="0" xfId="0" applyNumberFormat="1" applyFont="1" applyFill="1" applyBorder="1" applyAlignment="1">
      <alignment horizontal="center"/>
    </xf>
    <xf numFmtId="4" fontId="3" fillId="26" borderId="8" xfId="2" applyNumberFormat="1" applyFont="1" applyFill="1" applyBorder="1" applyAlignment="1">
      <alignment horizontal="right" vertical="top"/>
    </xf>
    <xf numFmtId="166" fontId="0" fillId="0" borderId="0" xfId="2" applyFont="1" applyFill="1" applyBorder="1" applyAlignment="1">
      <alignment horizontal="right"/>
    </xf>
    <xf numFmtId="4" fontId="0" fillId="26" borderId="8" xfId="2" applyNumberFormat="1" applyFont="1" applyFill="1" applyBorder="1" applyAlignment="1">
      <alignment horizontal="right" vertical="center"/>
    </xf>
    <xf numFmtId="10" fontId="9" fillId="3" borderId="8" xfId="0" applyNumberFormat="1" applyFont="1" applyFill="1" applyBorder="1" applyAlignment="1">
      <alignment horizontal="center"/>
    </xf>
    <xf numFmtId="4" fontId="0" fillId="26" borderId="8" xfId="2" applyNumberFormat="1" applyFont="1" applyFill="1" applyBorder="1" applyAlignment="1">
      <alignment horizontal="right" vertical="top"/>
    </xf>
    <xf numFmtId="10" fontId="10" fillId="0" borderId="0" xfId="0" applyNumberFormat="1" applyFont="1"/>
    <xf numFmtId="0" fontId="33" fillId="0" borderId="0" xfId="0" applyFont="1" applyFill="1" applyBorder="1" applyAlignment="1"/>
    <xf numFmtId="0" fontId="34" fillId="0" borderId="0" xfId="0" applyFont="1" applyAlignment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169" fontId="9" fillId="0" borderId="8" xfId="2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116">
    <cellStyle name="20% - Ênfase1 2" xfId="6"/>
    <cellStyle name="20% - Ênfase2 2" xfId="7"/>
    <cellStyle name="20% - Ênfase3 2" xfId="8"/>
    <cellStyle name="20% - Ênfase4 2" xfId="9"/>
    <cellStyle name="20% - Ênfase5 2" xfId="10"/>
    <cellStyle name="20% - Ênfase6 2" xfId="11"/>
    <cellStyle name="40% - Ênfase1 2" xfId="12"/>
    <cellStyle name="40% - Ênfase2 2" xfId="13"/>
    <cellStyle name="40% - Ênfase3 2" xfId="14"/>
    <cellStyle name="40% - Ênfase4 2" xfId="15"/>
    <cellStyle name="40% - Ênfase5 2" xfId="16"/>
    <cellStyle name="40% - Ênfase6 2" xfId="17"/>
    <cellStyle name="60% - Ênfase1 2" xfId="18"/>
    <cellStyle name="60% - Ênfase2 2" xfId="19"/>
    <cellStyle name="60% - Ênfase3 2" xfId="20"/>
    <cellStyle name="60% - Ênfase4 2" xfId="21"/>
    <cellStyle name="60% - Ênfase5 2" xfId="22"/>
    <cellStyle name="60% - Ênfase6 2" xfId="23"/>
    <cellStyle name="Bom 2" xfId="24"/>
    <cellStyle name="Cálculo 2" xfId="25"/>
    <cellStyle name="Célula de Verificação 2" xfId="26"/>
    <cellStyle name="Célula Vinculada 2" xfId="27"/>
    <cellStyle name="Ênfase1 2" xfId="28"/>
    <cellStyle name="Ênfase2 2" xfId="29"/>
    <cellStyle name="Ênfase3 2" xfId="30"/>
    <cellStyle name="Ênfase4 2" xfId="31"/>
    <cellStyle name="Ênfase5 2" xfId="32"/>
    <cellStyle name="Ênfase6 2" xfId="33"/>
    <cellStyle name="Entrada 2" xfId="34"/>
    <cellStyle name="Incorreto 2" xfId="35"/>
    <cellStyle name="Moeda" xfId="1" builtinId="4"/>
    <cellStyle name="Moeda 2" xfId="36"/>
    <cellStyle name="Moeda 2 2" xfId="37"/>
    <cellStyle name="Moeda 2 3" xfId="38"/>
    <cellStyle name="Moeda 3" xfId="39"/>
    <cellStyle name="Moeda 3 2" xfId="40"/>
    <cellStyle name="Moeda 4" xfId="41"/>
    <cellStyle name="Moeda 5" xfId="42"/>
    <cellStyle name="Moeda 5 2" xfId="43"/>
    <cellStyle name="Moeda 6" xfId="44"/>
    <cellStyle name="Neutra 2" xfId="45"/>
    <cellStyle name="Normal" xfId="0" builtinId="0"/>
    <cellStyle name="Normal 10" xfId="46"/>
    <cellStyle name="Normal 16" xfId="47"/>
    <cellStyle name="Normal 16 2" xfId="48"/>
    <cellStyle name="Normal 16 2 2" xfId="115"/>
    <cellStyle name="Normal 16_DAER -  Pontal" xfId="49"/>
    <cellStyle name="Normal 2" xfId="4"/>
    <cellStyle name="Normal 2 2" xfId="50"/>
    <cellStyle name="Normal 2_cronogramas físico financeiro e histograma 2" xfId="51"/>
    <cellStyle name="Normal 3" xfId="52"/>
    <cellStyle name="Normal 4" xfId="53"/>
    <cellStyle name="Normal 5" xfId="54"/>
    <cellStyle name="Normal 6" xfId="55"/>
    <cellStyle name="Normal 7" xfId="56"/>
    <cellStyle name="Normal 7 2" xfId="57"/>
    <cellStyle name="Normal 7 3" xfId="112"/>
    <cellStyle name="Normal 8" xfId="58"/>
    <cellStyle name="Normal 8 2" xfId="59"/>
    <cellStyle name="Normal 9" xfId="60"/>
    <cellStyle name="Nota 2" xfId="61"/>
    <cellStyle name="planilhas" xfId="62"/>
    <cellStyle name="Porcentagem 2" xfId="5"/>
    <cellStyle name="Porcentagem 2 2" xfId="63"/>
    <cellStyle name="Porcentagem 2 3" xfId="64"/>
    <cellStyle name="Porcentagem 3" xfId="65"/>
    <cellStyle name="Porcentagem 3 2" xfId="66"/>
    <cellStyle name="Porcentagem 3 2 2" xfId="67"/>
    <cellStyle name="Porcentagem 4" xfId="68"/>
    <cellStyle name="Porcentagem 4 2" xfId="69"/>
    <cellStyle name="Porcentagem 4 2 2" xfId="113"/>
    <cellStyle name="Porcentagem 4 3" xfId="70"/>
    <cellStyle name="Porcentagem 5" xfId="71"/>
    <cellStyle name="Porcentagem 5 2" xfId="72"/>
    <cellStyle name="Porcentagem 5 3" xfId="114"/>
    <cellStyle name="Porcentagem 6" xfId="73"/>
    <cellStyle name="Porcentagem 6 2" xfId="74"/>
    <cellStyle name="Porcentagem 7" xfId="75"/>
    <cellStyle name="Porcentagem 8" xfId="76"/>
    <cellStyle name="Porcentagem 8 2" xfId="77"/>
    <cellStyle name="Porcentagem 9" xfId="78"/>
    <cellStyle name="Porcentagem 9 2" xfId="79"/>
    <cellStyle name="Saída 2" xfId="80"/>
    <cellStyle name="Separador de milhares" xfId="2" builtinId="3"/>
    <cellStyle name="Separador de milhares 2" xfId="81"/>
    <cellStyle name="Separador de milhares 2 2" xfId="82"/>
    <cellStyle name="Separador de milhares 2 3" xfId="83"/>
    <cellStyle name="Separador de milhares 2 4" xfId="84"/>
    <cellStyle name="Separador de milhares 2 4 2" xfId="85"/>
    <cellStyle name="Separador de milhares 3" xfId="86"/>
    <cellStyle name="Separador de milhares 3 2" xfId="87"/>
    <cellStyle name="Separador de milhares 3 2 2" xfId="88"/>
    <cellStyle name="Separador de milhares 4" xfId="89"/>
    <cellStyle name="Separador de milhares 4 2" xfId="90"/>
    <cellStyle name="Separador de milhares 4 2 2" xfId="91"/>
    <cellStyle name="Separador de milhares 4 3" xfId="92"/>
    <cellStyle name="Separador de milhares 5" xfId="93"/>
    <cellStyle name="Separador de milhares 5 2" xfId="94"/>
    <cellStyle name="Separador de milhares 6" xfId="95"/>
    <cellStyle name="Separador de milhares 6 2" xfId="96"/>
    <cellStyle name="Separador de milhares 7" xfId="111"/>
    <cellStyle name="Texto de Aviso 2" xfId="97"/>
    <cellStyle name="Texto Explicativo 2" xfId="98"/>
    <cellStyle name="Título 1 2" xfId="99"/>
    <cellStyle name="Título 2 2" xfId="100"/>
    <cellStyle name="Título 3 2" xfId="101"/>
    <cellStyle name="Título 4 2" xfId="102"/>
    <cellStyle name="Título 5" xfId="103"/>
    <cellStyle name="Total 2" xfId="104"/>
    <cellStyle name="Vírgula 2" xfId="105"/>
    <cellStyle name="Vírgula 2 2" xfId="106"/>
    <cellStyle name="Vírgula 3" xfId="107"/>
    <cellStyle name="Vírgula 3 2" xfId="108"/>
    <cellStyle name="Vírgula 4" xfId="109"/>
    <cellStyle name="Vírgula 5" xfId="3"/>
    <cellStyle name="Vírgula 5 2" xfId="1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s\Delcino\VELOPARK_PAVIMENTA&#199;&#195;O\COMPOSI&#199;&#213;ES\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os\usuarios\Delcino\VELOPARK_PAVIMENTA&#199;&#195;O\COMPOSI&#199;&#213;ES\Or&#231;amento%20-%20Velopark%20-%20Pavimenta&#231;&#227;o%20Externa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D%20-%20EG_ETE%20LUIZ%20RAU\06%20-%20PROJETO%20EXECUTIVO\Vers&#227;o%20final%20preliminar%202\B%20-%20FINANCIAMENTO%20CAIXA\Or&#231;amento%20e%20Especifica&#231;&#245;es\Or&#231;amento%20ETE%20Luiz%20Rau-PAC%20CAIXA-R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tabSelected="1" workbookViewId="0">
      <pane ySplit="8" topLeftCell="A9" activePane="bottomLeft" state="frozen"/>
      <selection pane="bottomLeft" activeCell="B60" sqref="B60"/>
    </sheetView>
  </sheetViews>
  <sheetFormatPr defaultRowHeight="12.75"/>
  <cols>
    <col min="1" max="1" width="3.42578125" style="5" customWidth="1"/>
    <col min="2" max="2" width="50.85546875" style="5" customWidth="1"/>
    <col min="3" max="3" width="9.5703125" style="30" customWidth="1"/>
    <col min="4" max="4" width="5.28515625" style="7" bestFit="1" customWidth="1"/>
    <col min="5" max="5" width="12.28515625" style="33" customWidth="1"/>
    <col min="6" max="6" width="12.28515625" style="21" customWidth="1"/>
    <col min="7" max="7" width="12.28515625" style="18" customWidth="1"/>
    <col min="8" max="9" width="13.28515625" style="18" bestFit="1" customWidth="1"/>
    <col min="10" max="10" width="14.7109375" style="18" bestFit="1" customWidth="1"/>
    <col min="11" max="11" width="10.5703125" style="7" customWidth="1"/>
    <col min="12" max="12" width="2.42578125" style="5" bestFit="1" customWidth="1"/>
    <col min="13" max="14" width="9.140625" style="6"/>
    <col min="15" max="15" width="12.7109375" style="5" bestFit="1" customWidth="1"/>
    <col min="16" max="16384" width="9.140625" style="5"/>
  </cols>
  <sheetData>
    <row r="1" spans="1:15">
      <c r="A1" s="25" t="s">
        <v>27</v>
      </c>
      <c r="B1" s="89"/>
      <c r="C1" s="70"/>
      <c r="D1" s="71"/>
      <c r="E1" s="71"/>
      <c r="F1" s="72"/>
      <c r="G1" s="73"/>
      <c r="H1" s="73"/>
      <c r="I1" s="73"/>
      <c r="J1" s="73"/>
      <c r="K1" s="71"/>
    </row>
    <row r="2" spans="1:15">
      <c r="A2" s="25" t="s">
        <v>52</v>
      </c>
      <c r="B2" s="89"/>
      <c r="C2" s="90"/>
      <c r="D2" s="74"/>
      <c r="E2" s="74"/>
      <c r="F2" s="74"/>
      <c r="G2" s="74"/>
      <c r="H2" s="74"/>
      <c r="I2" s="74"/>
      <c r="J2" s="74"/>
      <c r="K2" s="74"/>
    </row>
    <row r="3" spans="1:15">
      <c r="A3" s="25" t="s">
        <v>28</v>
      </c>
      <c r="B3" s="91"/>
      <c r="C3" s="70"/>
      <c r="D3" s="71"/>
      <c r="E3" s="71"/>
      <c r="F3" s="72"/>
      <c r="G3" s="73"/>
      <c r="H3" s="73"/>
      <c r="I3" s="73"/>
      <c r="J3" s="73"/>
      <c r="K3" s="71"/>
    </row>
    <row r="4" spans="1:15">
      <c r="A4" s="25" t="s">
        <v>62</v>
      </c>
      <c r="B4" s="92"/>
      <c r="C4" s="70"/>
      <c r="D4" s="71"/>
      <c r="E4" s="71"/>
      <c r="F4" s="72"/>
      <c r="G4" s="73"/>
      <c r="H4" s="73"/>
      <c r="I4" s="73"/>
      <c r="J4" s="73"/>
      <c r="K4" s="71"/>
    </row>
    <row r="5" spans="1:15">
      <c r="A5" s="25" t="s">
        <v>76</v>
      </c>
      <c r="B5" s="145"/>
      <c r="C5" s="75"/>
      <c r="D5" s="71"/>
      <c r="E5" s="71"/>
      <c r="F5" s="72"/>
      <c r="G5" s="73"/>
      <c r="H5" s="73"/>
      <c r="I5" s="73"/>
      <c r="J5" s="73"/>
      <c r="K5" s="71"/>
    </row>
    <row r="6" spans="1:15">
      <c r="A6" s="93"/>
      <c r="B6" s="67"/>
      <c r="C6" s="66"/>
      <c r="D6" s="87"/>
      <c r="E6" s="87"/>
      <c r="K6" s="143">
        <v>0.2072</v>
      </c>
    </row>
    <row r="7" spans="1:15">
      <c r="A7" s="94"/>
      <c r="B7" s="8"/>
      <c r="C7" s="68"/>
      <c r="D7" s="9"/>
      <c r="E7" s="152" t="s">
        <v>24</v>
      </c>
      <c r="F7" s="152"/>
      <c r="G7" s="152"/>
      <c r="H7" s="153" t="s">
        <v>23</v>
      </c>
      <c r="I7" s="154"/>
      <c r="J7" s="154"/>
      <c r="K7" s="155" t="s">
        <v>4</v>
      </c>
    </row>
    <row r="8" spans="1:15">
      <c r="A8" s="10" t="s">
        <v>0</v>
      </c>
      <c r="B8" s="11"/>
      <c r="C8" s="69" t="s">
        <v>1</v>
      </c>
      <c r="D8" s="12" t="s">
        <v>2</v>
      </c>
      <c r="E8" s="4" t="s">
        <v>21</v>
      </c>
      <c r="F8" s="88" t="s">
        <v>22</v>
      </c>
      <c r="G8" s="13" t="s">
        <v>3</v>
      </c>
      <c r="H8" s="13" t="s">
        <v>21</v>
      </c>
      <c r="I8" s="19" t="s">
        <v>22</v>
      </c>
      <c r="J8" s="51" t="s">
        <v>11</v>
      </c>
      <c r="K8" s="156"/>
      <c r="M8" s="14"/>
      <c r="N8" s="14"/>
    </row>
    <row r="9" spans="1:15" s="15" customFormat="1">
      <c r="A9" s="23" t="s">
        <v>13</v>
      </c>
      <c r="B9" s="24"/>
      <c r="C9" s="95"/>
      <c r="D9" s="96"/>
      <c r="E9" s="96"/>
      <c r="F9" s="97"/>
      <c r="G9" s="98"/>
      <c r="H9" s="98"/>
      <c r="I9" s="98"/>
      <c r="J9" s="99"/>
      <c r="K9" s="100"/>
      <c r="M9" s="16"/>
      <c r="N9" s="16"/>
    </row>
    <row r="10" spans="1:15" s="15" customFormat="1" ht="24">
      <c r="A10" s="32" t="s">
        <v>5</v>
      </c>
      <c r="B10" s="65" t="s">
        <v>26</v>
      </c>
      <c r="C10" s="115">
        <v>1.5</v>
      </c>
      <c r="D10" s="116" t="s">
        <v>72</v>
      </c>
      <c r="E10" s="119">
        <f>G10*(0.8781)</f>
        <v>303.33086400000002</v>
      </c>
      <c r="F10" s="120">
        <f>G10-E10</f>
        <v>42.109135999999978</v>
      </c>
      <c r="G10" s="125">
        <v>345.44</v>
      </c>
      <c r="H10" s="117">
        <f>(E10*C10)*(1+$K$6)</f>
        <v>549.27152853120003</v>
      </c>
      <c r="I10" s="117">
        <f>(F10*C10)*(1+$K$6)</f>
        <v>76.251223468799964</v>
      </c>
      <c r="J10" s="118">
        <f>SUM(H10:I10)</f>
        <v>625.52275199999997</v>
      </c>
      <c r="K10" s="64" t="s">
        <v>14</v>
      </c>
      <c r="M10" s="16"/>
      <c r="N10" s="16"/>
    </row>
    <row r="11" spans="1:15" s="15" customFormat="1">
      <c r="A11" s="101"/>
      <c r="B11" s="102"/>
      <c r="C11" s="103"/>
      <c r="D11" s="104"/>
      <c r="E11" s="104"/>
      <c r="F11" s="105"/>
      <c r="G11" s="106"/>
      <c r="H11" s="106"/>
      <c r="I11" s="106"/>
      <c r="J11" s="106"/>
      <c r="K11" s="107"/>
      <c r="M11" s="16"/>
      <c r="N11" s="17"/>
    </row>
    <row r="12" spans="1:15" s="15" customFormat="1">
      <c r="A12" s="108"/>
      <c r="B12" s="27" t="s">
        <v>7</v>
      </c>
      <c r="C12" s="42"/>
      <c r="D12" s="34"/>
      <c r="E12" s="34"/>
      <c r="F12" s="56"/>
      <c r="G12" s="126"/>
      <c r="H12" s="52">
        <f>SUM(H10:H10)</f>
        <v>549.27152853120003</v>
      </c>
      <c r="I12" s="52">
        <f>SUM(I10:I10)</f>
        <v>76.251223468799964</v>
      </c>
      <c r="J12" s="126">
        <f>SUM(J10:J10)</f>
        <v>625.52275199999997</v>
      </c>
      <c r="K12" s="127"/>
      <c r="M12" s="16"/>
      <c r="N12" s="17"/>
    </row>
    <row r="13" spans="1:15" s="15" customFormat="1">
      <c r="A13" s="36"/>
      <c r="B13" s="29"/>
      <c r="C13" s="37"/>
      <c r="D13" s="38"/>
      <c r="E13" s="38"/>
      <c r="F13" s="39"/>
      <c r="G13" s="40"/>
      <c r="H13" s="40"/>
      <c r="I13" s="40"/>
      <c r="J13" s="40"/>
      <c r="K13" s="41"/>
      <c r="M13" s="16"/>
      <c r="N13" s="17"/>
    </row>
    <row r="14" spans="1:15" s="15" customFormat="1">
      <c r="A14" s="29"/>
      <c r="B14" s="29"/>
      <c r="C14" s="37"/>
      <c r="D14" s="38"/>
      <c r="E14" s="38"/>
      <c r="F14" s="39"/>
      <c r="G14" s="40"/>
      <c r="H14" s="40"/>
      <c r="I14" s="40"/>
      <c r="J14" s="40"/>
      <c r="K14" s="41"/>
      <c r="M14" s="16"/>
      <c r="N14" s="17"/>
    </row>
    <row r="15" spans="1:15" s="15" customFormat="1">
      <c r="A15" s="29"/>
      <c r="B15" s="29"/>
      <c r="C15" s="49"/>
      <c r="D15" s="38"/>
      <c r="E15" s="38"/>
      <c r="F15" s="39"/>
      <c r="G15" s="40"/>
      <c r="H15" s="40"/>
      <c r="I15" s="40"/>
      <c r="J15" s="40"/>
      <c r="K15" s="41"/>
      <c r="M15" s="16"/>
      <c r="N15" s="17"/>
      <c r="O15" s="31"/>
    </row>
    <row r="16" spans="1:15" s="15" customFormat="1">
      <c r="A16" s="27" t="s">
        <v>29</v>
      </c>
      <c r="B16" s="27"/>
      <c r="C16" s="42"/>
      <c r="D16" s="34"/>
      <c r="E16" s="34"/>
      <c r="F16" s="43"/>
      <c r="G16" s="35"/>
      <c r="H16" s="35"/>
      <c r="I16" s="35"/>
      <c r="J16" s="35"/>
      <c r="K16" s="44"/>
      <c r="M16" s="16"/>
      <c r="N16" s="17"/>
      <c r="O16" s="31"/>
    </row>
    <row r="17" spans="1:15" s="15" customFormat="1">
      <c r="A17" s="32" t="s">
        <v>5</v>
      </c>
      <c r="B17" s="63" t="s">
        <v>38</v>
      </c>
      <c r="C17" s="115">
        <v>0.6</v>
      </c>
      <c r="D17" s="116" t="s">
        <v>72</v>
      </c>
      <c r="E17" s="119">
        <f>G17*(0.2865)</f>
        <v>66.069765000000004</v>
      </c>
      <c r="F17" s="120">
        <f>G17-E17</f>
        <v>164.540235</v>
      </c>
      <c r="G17" s="121">
        <v>230.61</v>
      </c>
      <c r="H17" s="117">
        <f>(E17*C17)*(1+$K$6)</f>
        <v>47.855652184800007</v>
      </c>
      <c r="I17" s="117">
        <f>(F17*C17)*(1+$K$6)</f>
        <v>119.17978301519999</v>
      </c>
      <c r="J17" s="118">
        <f>SUM(H17:I17)</f>
        <v>167.03543519999999</v>
      </c>
      <c r="K17" s="64">
        <v>97628</v>
      </c>
      <c r="M17" s="16"/>
      <c r="N17" s="17"/>
      <c r="O17" s="31"/>
    </row>
    <row r="18" spans="1:15" s="15" customFormat="1">
      <c r="A18" s="29"/>
      <c r="B18" s="50"/>
      <c r="C18" s="128"/>
      <c r="D18" s="129"/>
      <c r="E18" s="129"/>
      <c r="F18" s="130"/>
      <c r="G18" s="131"/>
      <c r="H18" s="131"/>
      <c r="I18" s="131"/>
      <c r="J18" s="131"/>
      <c r="K18" s="132"/>
      <c r="M18" s="16"/>
      <c r="N18" s="17"/>
      <c r="O18" s="31"/>
    </row>
    <row r="19" spans="1:15" s="15" customFormat="1">
      <c r="A19" s="109"/>
      <c r="B19" s="28" t="s">
        <v>30</v>
      </c>
      <c r="C19" s="133"/>
      <c r="D19" s="55"/>
      <c r="E19" s="55"/>
      <c r="F19" s="56"/>
      <c r="G19" s="57"/>
      <c r="H19" s="52">
        <f>SUM(H17:H17)</f>
        <v>47.855652184800007</v>
      </c>
      <c r="I19" s="52">
        <f>SUM(I17:I17)</f>
        <v>119.17978301519999</v>
      </c>
      <c r="J19" s="52">
        <f>SUM(J17:J17)</f>
        <v>167.03543519999999</v>
      </c>
      <c r="K19" s="58"/>
      <c r="M19" s="16"/>
      <c r="N19" s="17"/>
      <c r="O19" s="31"/>
    </row>
    <row r="20" spans="1:15" s="15" customFormat="1">
      <c r="A20" s="29"/>
      <c r="B20" s="29"/>
      <c r="C20" s="49"/>
      <c r="D20" s="38"/>
      <c r="E20" s="38"/>
      <c r="F20" s="39"/>
      <c r="G20" s="40"/>
      <c r="H20" s="40"/>
      <c r="I20" s="40"/>
      <c r="J20" s="40"/>
      <c r="K20" s="41"/>
      <c r="M20" s="16"/>
      <c r="N20" s="17"/>
      <c r="O20" s="31"/>
    </row>
    <row r="21" spans="1:15" s="15" customFormat="1">
      <c r="A21" s="45"/>
      <c r="B21" s="45"/>
      <c r="C21" s="49"/>
      <c r="D21" s="46"/>
      <c r="E21" s="46"/>
      <c r="F21" s="47"/>
      <c r="G21" s="48"/>
      <c r="H21" s="48"/>
      <c r="I21" s="48"/>
      <c r="J21" s="48"/>
      <c r="K21" s="53"/>
      <c r="M21" s="16"/>
      <c r="N21" s="17"/>
      <c r="O21" s="31"/>
    </row>
    <row r="22" spans="1:15" s="15" customFormat="1">
      <c r="A22" s="27" t="s">
        <v>31</v>
      </c>
      <c r="B22" s="27"/>
      <c r="C22" s="42"/>
      <c r="D22" s="34"/>
      <c r="E22" s="34"/>
      <c r="F22" s="43"/>
      <c r="G22" s="35"/>
      <c r="H22" s="35"/>
      <c r="I22" s="35"/>
      <c r="J22" s="35"/>
      <c r="K22" s="44"/>
      <c r="M22" s="16"/>
      <c r="N22" s="17"/>
      <c r="O22" s="31"/>
    </row>
    <row r="23" spans="1:15" s="15" customFormat="1" ht="24">
      <c r="A23" s="32" t="s">
        <v>5</v>
      </c>
      <c r="B23" s="63" t="s">
        <v>42</v>
      </c>
      <c r="C23" s="115">
        <v>0.68</v>
      </c>
      <c r="D23" s="12" t="s">
        <v>43</v>
      </c>
      <c r="E23" s="119">
        <f>G23*(0.2769)</f>
        <v>22.298756999999998</v>
      </c>
      <c r="F23" s="120">
        <f t="shared" ref="F23:F29" si="0">G23-E23</f>
        <v>58.231243000000006</v>
      </c>
      <c r="G23" s="121">
        <v>80.53</v>
      </c>
      <c r="H23" s="117">
        <f t="shared" ref="H23:H28" si="1">(E23*C23)*(1+$K$6)</f>
        <v>18.304960426272</v>
      </c>
      <c r="I23" s="117">
        <f t="shared" ref="I23:I28" si="2">(F23*C23)*(1+$K$6)</f>
        <v>47.801794453728007</v>
      </c>
      <c r="J23" s="118">
        <f t="shared" ref="J23:J29" si="3">SUM(H23:I23)</f>
        <v>66.106754880000011</v>
      </c>
      <c r="K23" s="64">
        <v>96523</v>
      </c>
      <c r="M23" s="16"/>
      <c r="N23" s="17"/>
      <c r="O23" s="31"/>
    </row>
    <row r="24" spans="1:15" s="15" customFormat="1" ht="48">
      <c r="A24" s="32" t="s">
        <v>6</v>
      </c>
      <c r="B24" s="63" t="s">
        <v>39</v>
      </c>
      <c r="C24" s="115">
        <v>0.88</v>
      </c>
      <c r="D24" s="116" t="s">
        <v>41</v>
      </c>
      <c r="E24" s="119">
        <f>G24*(0.5958)</f>
        <v>34.860258000000002</v>
      </c>
      <c r="F24" s="120">
        <f t="shared" si="0"/>
        <v>23.649741999999996</v>
      </c>
      <c r="G24" s="121">
        <v>58.51</v>
      </c>
      <c r="H24" s="117">
        <f>(E24*C24)*(1+$K$6)</f>
        <v>37.033307042688001</v>
      </c>
      <c r="I24" s="117">
        <f>(F24*C24)*(1+$K$6)</f>
        <v>25.123972317311996</v>
      </c>
      <c r="J24" s="118">
        <f t="shared" si="3"/>
        <v>62.157279359999997</v>
      </c>
      <c r="K24" s="64">
        <v>90880</v>
      </c>
      <c r="M24" s="16"/>
      <c r="N24" s="17"/>
      <c r="O24" s="31"/>
    </row>
    <row r="25" spans="1:15" s="15" customFormat="1" ht="24">
      <c r="A25" s="32" t="s">
        <v>17</v>
      </c>
      <c r="B25" s="63" t="s">
        <v>40</v>
      </c>
      <c r="C25" s="115">
        <v>44.4</v>
      </c>
      <c r="D25" s="116" t="s">
        <v>44</v>
      </c>
      <c r="E25" s="123">
        <f>G25*(0.8301)</f>
        <v>5.6363789999999998</v>
      </c>
      <c r="F25" s="124">
        <f t="shared" si="0"/>
        <v>1.1536210000000002</v>
      </c>
      <c r="G25" s="121">
        <v>6.79</v>
      </c>
      <c r="H25" s="117">
        <f t="shared" si="1"/>
        <v>302.10811075871999</v>
      </c>
      <c r="I25" s="117">
        <f t="shared" si="2"/>
        <v>61.833716441280011</v>
      </c>
      <c r="J25" s="118">
        <f t="shared" si="3"/>
        <v>363.94182719999998</v>
      </c>
      <c r="K25" s="64">
        <v>92762</v>
      </c>
      <c r="M25" s="16"/>
      <c r="N25" s="17"/>
      <c r="O25" s="31"/>
    </row>
    <row r="26" spans="1:15" s="15" customFormat="1" ht="24">
      <c r="A26" s="32" t="s">
        <v>18</v>
      </c>
      <c r="B26" s="63" t="s">
        <v>45</v>
      </c>
      <c r="C26" s="115">
        <v>12.41</v>
      </c>
      <c r="D26" s="116" t="s">
        <v>44</v>
      </c>
      <c r="E26" s="123">
        <f>G26*(0.6366)</f>
        <v>6.2832420000000004</v>
      </c>
      <c r="F26" s="124">
        <f t="shared" si="0"/>
        <v>3.5867579999999988</v>
      </c>
      <c r="G26" s="121">
        <v>9.8699999999999992</v>
      </c>
      <c r="H26" s="117">
        <f t="shared" si="1"/>
        <v>94.131460103184011</v>
      </c>
      <c r="I26" s="117">
        <f t="shared" si="2"/>
        <v>53.734484136815986</v>
      </c>
      <c r="J26" s="118">
        <f t="shared" si="3"/>
        <v>147.86594424</v>
      </c>
      <c r="K26" s="64">
        <v>92759</v>
      </c>
      <c r="M26" s="16"/>
      <c r="N26" s="17"/>
      <c r="O26" s="31"/>
    </row>
    <row r="27" spans="1:15" s="15" customFormat="1" ht="36">
      <c r="A27" s="32" t="s">
        <v>49</v>
      </c>
      <c r="B27" s="63" t="s">
        <v>46</v>
      </c>
      <c r="C27" s="115">
        <v>0.55000000000000004</v>
      </c>
      <c r="D27" s="116" t="s">
        <v>43</v>
      </c>
      <c r="E27" s="123">
        <f>G27*(0.4245)</f>
        <v>143.59985999999998</v>
      </c>
      <c r="F27" s="124">
        <f t="shared" si="0"/>
        <v>194.68013999999999</v>
      </c>
      <c r="G27" s="121">
        <v>338.28</v>
      </c>
      <c r="H27" s="117">
        <f t="shared" si="1"/>
        <v>95.344563045599998</v>
      </c>
      <c r="I27" s="117">
        <f t="shared" si="2"/>
        <v>129.2598257544</v>
      </c>
      <c r="J27" s="118">
        <f t="shared" si="3"/>
        <v>224.60438879999998</v>
      </c>
      <c r="K27" s="64">
        <v>94964</v>
      </c>
      <c r="M27" s="16"/>
      <c r="N27" s="17"/>
      <c r="O27" s="31"/>
    </row>
    <row r="28" spans="1:15" s="15" customFormat="1" ht="36">
      <c r="A28" s="32" t="s">
        <v>56</v>
      </c>
      <c r="B28" s="63" t="s">
        <v>47</v>
      </c>
      <c r="C28" s="115">
        <v>0.81</v>
      </c>
      <c r="D28" s="116" t="s">
        <v>72</v>
      </c>
      <c r="E28" s="119">
        <f>G28*(0.2769)</f>
        <v>14.299116</v>
      </c>
      <c r="F28" s="120">
        <f t="shared" si="0"/>
        <v>37.340884000000003</v>
      </c>
      <c r="G28" s="121">
        <v>51.64</v>
      </c>
      <c r="H28" s="117">
        <f t="shared" si="1"/>
        <v>13.982133196512001</v>
      </c>
      <c r="I28" s="117">
        <f t="shared" si="2"/>
        <v>36.513111283488008</v>
      </c>
      <c r="J28" s="118">
        <f t="shared" si="3"/>
        <v>50.495244480000011</v>
      </c>
      <c r="K28" s="64">
        <v>96536</v>
      </c>
      <c r="M28" s="16"/>
      <c r="N28" s="17"/>
      <c r="O28" s="31"/>
    </row>
    <row r="29" spans="1:15" s="15" customFormat="1">
      <c r="A29" s="32" t="s">
        <v>57</v>
      </c>
      <c r="B29" s="63" t="s">
        <v>58</v>
      </c>
      <c r="C29" s="140">
        <v>18.649999999999999</v>
      </c>
      <c r="D29" s="116" t="s">
        <v>44</v>
      </c>
      <c r="E29" s="119">
        <f>G29*(0.7503)</f>
        <v>5.9198669999999991</v>
      </c>
      <c r="F29" s="120">
        <f t="shared" si="0"/>
        <v>1.9701330000000006</v>
      </c>
      <c r="G29" s="121">
        <v>7.89</v>
      </c>
      <c r="H29" s="117">
        <f>(E29*C29)*(1+$K$6)</f>
        <v>133.28154320075998</v>
      </c>
      <c r="I29" s="117">
        <f>(F29*C29)*(1+$K$6)</f>
        <v>44.356125999240007</v>
      </c>
      <c r="J29" s="118">
        <f t="shared" si="3"/>
        <v>177.6376692</v>
      </c>
      <c r="K29" s="122">
        <v>96546</v>
      </c>
      <c r="M29" s="16"/>
      <c r="N29" s="17"/>
      <c r="O29" s="31"/>
    </row>
    <row r="30" spans="1:15" s="15" customFormat="1">
      <c r="A30" s="50"/>
      <c r="B30" s="50"/>
      <c r="C30" s="141"/>
      <c r="D30" s="129"/>
      <c r="E30" s="129"/>
      <c r="F30" s="130"/>
      <c r="G30" s="131"/>
      <c r="H30" s="131"/>
      <c r="I30" s="131"/>
      <c r="J30" s="131"/>
      <c r="K30" s="132"/>
      <c r="M30" s="16"/>
      <c r="N30" s="17"/>
      <c r="O30" s="31"/>
    </row>
    <row r="31" spans="1:15" s="15" customFormat="1">
      <c r="A31" s="26"/>
      <c r="B31" s="28" t="s">
        <v>32</v>
      </c>
      <c r="C31" s="54"/>
      <c r="D31" s="55"/>
      <c r="E31" s="55"/>
      <c r="F31" s="56"/>
      <c r="G31" s="57"/>
      <c r="H31" s="52">
        <f>SUM(H23:H29)</f>
        <v>694.18607777373597</v>
      </c>
      <c r="I31" s="52">
        <f>SUM(I23:I29)</f>
        <v>398.62303038626402</v>
      </c>
      <c r="J31" s="52">
        <f>SUM(J23:J29)</f>
        <v>1092.8091081600001</v>
      </c>
      <c r="K31" s="58"/>
      <c r="M31" s="16"/>
      <c r="N31" s="17"/>
      <c r="O31" s="31"/>
    </row>
    <row r="32" spans="1:15" s="15" customFormat="1" ht="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M32" s="16"/>
      <c r="N32" s="17"/>
      <c r="O32" s="31"/>
    </row>
    <row r="33" spans="1:15" s="15" customFormat="1">
      <c r="A33" s="27" t="s">
        <v>35</v>
      </c>
      <c r="B33" s="27"/>
      <c r="C33" s="42"/>
      <c r="D33" s="34"/>
      <c r="E33" s="34"/>
      <c r="F33" s="43"/>
      <c r="G33" s="35"/>
      <c r="H33" s="35"/>
      <c r="I33" s="35"/>
      <c r="J33" s="35"/>
      <c r="K33" s="44"/>
      <c r="M33" s="16"/>
      <c r="N33" s="17"/>
      <c r="O33" s="31"/>
    </row>
    <row r="34" spans="1:15" s="15" customFormat="1" ht="24">
      <c r="A34" s="32" t="s">
        <v>5</v>
      </c>
      <c r="B34" s="63" t="s">
        <v>61</v>
      </c>
      <c r="C34" s="142">
        <v>6</v>
      </c>
      <c r="D34" s="116" t="s">
        <v>59</v>
      </c>
      <c r="E34" s="119">
        <f>G34*(0.7)</f>
        <v>325.5</v>
      </c>
      <c r="F34" s="120">
        <f t="shared" ref="F34" si="4">G34-E34</f>
        <v>139.5</v>
      </c>
      <c r="G34" s="121">
        <v>465</v>
      </c>
      <c r="H34" s="117">
        <f t="shared" ref="H34" si="5">(E34*C34)*(1+$K$6)</f>
        <v>2357.6615999999999</v>
      </c>
      <c r="I34" s="117">
        <f t="shared" ref="I34" si="6">(F34*C34)*(1+$K$6)</f>
        <v>1010.4264000000001</v>
      </c>
      <c r="J34" s="118">
        <f t="shared" ref="J34" si="7">SUM(H34:I34)</f>
        <v>3368.0879999999997</v>
      </c>
      <c r="K34" s="64" t="s">
        <v>60</v>
      </c>
      <c r="M34" s="16"/>
      <c r="N34" s="17"/>
      <c r="O34" s="31"/>
    </row>
    <row r="35" spans="1:15" s="15" customFormat="1" ht="24">
      <c r="A35" s="32" t="s">
        <v>6</v>
      </c>
      <c r="B35" s="63" t="s">
        <v>64</v>
      </c>
      <c r="C35" s="142">
        <v>2</v>
      </c>
      <c r="D35" s="116" t="s">
        <v>59</v>
      </c>
      <c r="E35" s="119">
        <f>G35*(0.7)</f>
        <v>644</v>
      </c>
      <c r="F35" s="120">
        <f t="shared" ref="F35" si="8">G35-E35</f>
        <v>276</v>
      </c>
      <c r="G35" s="121">
        <v>920</v>
      </c>
      <c r="H35" s="117">
        <f t="shared" ref="H35" si="9">(E35*C35)*(1+$K$6)</f>
        <v>1554.8736000000001</v>
      </c>
      <c r="I35" s="117">
        <f t="shared" ref="I35" si="10">(F35*C35)*(1+$K$6)</f>
        <v>666.37440000000004</v>
      </c>
      <c r="J35" s="118">
        <f t="shared" ref="J35" si="11">SUM(H35:I35)</f>
        <v>2221.248</v>
      </c>
      <c r="K35" s="64" t="s">
        <v>60</v>
      </c>
      <c r="M35" s="16"/>
      <c r="N35" s="17"/>
      <c r="O35" s="31"/>
    </row>
    <row r="36" spans="1:15" s="15" customFormat="1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M36" s="16"/>
      <c r="N36" s="17"/>
      <c r="O36" s="31"/>
    </row>
    <row r="37" spans="1:15" s="15" customFormat="1">
      <c r="A37" s="26"/>
      <c r="B37" s="28" t="s">
        <v>37</v>
      </c>
      <c r="C37" s="54"/>
      <c r="D37" s="55"/>
      <c r="E37" s="55"/>
      <c r="F37" s="56"/>
      <c r="G37" s="57"/>
      <c r="H37" s="52">
        <f>SUM(H34:H34)</f>
        <v>2357.6615999999999</v>
      </c>
      <c r="I37" s="52">
        <f>SUM(I34:I34)</f>
        <v>1010.4264000000001</v>
      </c>
      <c r="J37" s="52">
        <f>SUM(J34:J34)</f>
        <v>3368.0879999999997</v>
      </c>
      <c r="K37" s="58"/>
      <c r="M37" s="16"/>
      <c r="N37" s="17"/>
      <c r="O37" s="31"/>
    </row>
    <row r="38" spans="1:15" s="15" customFormat="1">
      <c r="A38" s="134"/>
      <c r="B38" s="134"/>
      <c r="C38" s="135"/>
      <c r="D38" s="136"/>
      <c r="E38" s="136"/>
      <c r="F38" s="137"/>
      <c r="G38" s="138"/>
      <c r="H38" s="138"/>
      <c r="I38" s="138"/>
      <c r="J38" s="138"/>
      <c r="K38" s="139"/>
      <c r="M38" s="16"/>
      <c r="N38" s="17"/>
      <c r="O38" s="31"/>
    </row>
    <row r="39" spans="1:15" s="15" customFormat="1">
      <c r="A39" s="27" t="s">
        <v>54</v>
      </c>
      <c r="B39" s="27"/>
      <c r="C39" s="42"/>
      <c r="D39" s="34"/>
      <c r="E39" s="34"/>
      <c r="F39" s="43"/>
      <c r="G39" s="35"/>
      <c r="H39" s="35"/>
      <c r="I39" s="35"/>
      <c r="J39" s="35"/>
      <c r="K39" s="44"/>
      <c r="M39" s="16"/>
      <c r="N39" s="17"/>
      <c r="O39" s="31"/>
    </row>
    <row r="40" spans="1:15" s="15" customFormat="1" ht="24">
      <c r="A40" s="32" t="s">
        <v>5</v>
      </c>
      <c r="B40" s="63" t="s">
        <v>71</v>
      </c>
      <c r="C40" s="142">
        <v>3</v>
      </c>
      <c r="D40" s="116" t="s">
        <v>72</v>
      </c>
      <c r="E40" s="119">
        <f>G40*(0.7)</f>
        <v>19.193999999999999</v>
      </c>
      <c r="F40" s="120">
        <f t="shared" ref="F40" si="12">G40-E40</f>
        <v>8.2260000000000026</v>
      </c>
      <c r="G40" s="121">
        <v>27.42</v>
      </c>
      <c r="H40" s="117">
        <f t="shared" ref="H40" si="13">(E40*C40)*(1+$K$6)</f>
        <v>69.512990399999993</v>
      </c>
      <c r="I40" s="117">
        <f t="shared" ref="I40" si="14">(F40*C40)*(1+$K$6)</f>
        <v>29.791281600000012</v>
      </c>
      <c r="J40" s="118">
        <f t="shared" ref="J40" si="15">SUM(H40:I40)</f>
        <v>99.304271999999997</v>
      </c>
      <c r="K40" s="64">
        <v>95241</v>
      </c>
      <c r="M40" s="16"/>
      <c r="N40" s="17"/>
      <c r="O40" s="31"/>
    </row>
    <row r="41" spans="1:15" s="15" customFormat="1" ht="1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M41" s="16"/>
      <c r="N41" s="17"/>
      <c r="O41" s="31"/>
    </row>
    <row r="42" spans="1:15" s="15" customFormat="1">
      <c r="A42" s="26"/>
      <c r="B42" s="28" t="s">
        <v>55</v>
      </c>
      <c r="C42" s="54"/>
      <c r="D42" s="55"/>
      <c r="E42" s="55"/>
      <c r="F42" s="56"/>
      <c r="G42" s="57"/>
      <c r="H42" s="52">
        <f>SUM(H40)</f>
        <v>69.512990399999993</v>
      </c>
      <c r="I42" s="52">
        <f>SUM(I40)</f>
        <v>29.791281600000012</v>
      </c>
      <c r="J42" s="52">
        <f>SUM(J40)</f>
        <v>99.304271999999997</v>
      </c>
      <c r="K42" s="58"/>
      <c r="M42" s="16"/>
      <c r="N42" s="17"/>
      <c r="O42" s="31"/>
    </row>
    <row r="43" spans="1:15" s="15" customFormat="1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M43" s="16"/>
      <c r="N43" s="17"/>
      <c r="O43" s="31"/>
    </row>
    <row r="44" spans="1:15" s="15" customFormat="1">
      <c r="A44" s="27" t="s">
        <v>73</v>
      </c>
      <c r="B44" s="27"/>
      <c r="C44" s="42"/>
      <c r="D44" s="34"/>
      <c r="E44" s="34"/>
      <c r="F44" s="43"/>
      <c r="G44" s="35"/>
      <c r="H44" s="35"/>
      <c r="I44" s="35"/>
      <c r="J44" s="35"/>
      <c r="K44" s="44"/>
      <c r="M44" s="16"/>
      <c r="N44" s="17"/>
      <c r="O44" s="31"/>
    </row>
    <row r="45" spans="1:15" s="15" customFormat="1" ht="24">
      <c r="A45" s="32" t="s">
        <v>5</v>
      </c>
      <c r="B45" s="63" t="s">
        <v>63</v>
      </c>
      <c r="C45" s="142">
        <v>17.73</v>
      </c>
      <c r="D45" s="116" t="s">
        <v>72</v>
      </c>
      <c r="E45" s="119">
        <f>G45*(0.932)</f>
        <v>37.783279999999998</v>
      </c>
      <c r="F45" s="120">
        <f t="shared" ref="F45" si="16">G45-E45</f>
        <v>2.7567200000000014</v>
      </c>
      <c r="G45" s="121">
        <v>40.54</v>
      </c>
      <c r="H45" s="117">
        <f t="shared" ref="H45" si="17">(E45*C45)*(1+$K$6)</f>
        <v>808.70032767168004</v>
      </c>
      <c r="I45" s="117">
        <f t="shared" ref="I45" si="18">(F45*C45)*(1+$K$6)</f>
        <v>59.003886568320034</v>
      </c>
      <c r="J45" s="118">
        <f t="shared" ref="J45" si="19">SUM(H45:I45)</f>
        <v>867.70421424000006</v>
      </c>
      <c r="K45" s="64">
        <v>94213</v>
      </c>
      <c r="M45" s="16"/>
      <c r="N45" s="17"/>
      <c r="O45" s="31"/>
    </row>
    <row r="46" spans="1:15" s="15" customFormat="1" ht="1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M46" s="16"/>
      <c r="N46" s="17"/>
      <c r="O46" s="31"/>
    </row>
    <row r="47" spans="1:15" s="15" customFormat="1">
      <c r="A47" s="26"/>
      <c r="B47" s="28" t="s">
        <v>33</v>
      </c>
      <c r="C47" s="54"/>
      <c r="D47" s="55"/>
      <c r="E47" s="55"/>
      <c r="F47" s="56"/>
      <c r="G47" s="57"/>
      <c r="H47" s="52">
        <f>SUM(H43:H45)</f>
        <v>808.70032767168004</v>
      </c>
      <c r="I47" s="52">
        <f>SUM(I45)</f>
        <v>59.003886568320034</v>
      </c>
      <c r="J47" s="52">
        <f>SUM(J43:J45)</f>
        <v>867.70421424000006</v>
      </c>
      <c r="K47" s="58"/>
      <c r="M47" s="16"/>
      <c r="N47" s="17"/>
      <c r="O47" s="31"/>
    </row>
    <row r="48" spans="1:15" s="15" customFormat="1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M48" s="16"/>
      <c r="N48" s="17"/>
      <c r="O48" s="31"/>
    </row>
    <row r="49" spans="1:15" s="15" customFormat="1">
      <c r="A49" s="27" t="s">
        <v>74</v>
      </c>
      <c r="B49" s="27"/>
      <c r="C49" s="42"/>
      <c r="D49" s="34"/>
      <c r="E49" s="34"/>
      <c r="F49" s="43"/>
      <c r="G49" s="35"/>
      <c r="H49" s="35"/>
      <c r="I49" s="35"/>
      <c r="J49" s="35"/>
      <c r="K49" s="44"/>
      <c r="M49" s="16"/>
      <c r="N49" s="17"/>
      <c r="O49" s="31"/>
    </row>
    <row r="50" spans="1:15" s="15" customFormat="1" ht="36">
      <c r="A50" s="32" t="s">
        <v>5</v>
      </c>
      <c r="B50" s="63" t="s">
        <v>65</v>
      </c>
      <c r="C50" s="142">
        <v>4</v>
      </c>
      <c r="D50" s="116" t="s">
        <v>59</v>
      </c>
      <c r="E50" s="119">
        <f>G50*(0.7)</f>
        <v>507.49999999999994</v>
      </c>
      <c r="F50" s="120">
        <f t="shared" ref="F50:F54" si="20">G50-E50</f>
        <v>217.50000000000006</v>
      </c>
      <c r="G50" s="121">
        <v>725</v>
      </c>
      <c r="H50" s="117">
        <f t="shared" ref="H50:H54" si="21">(E50*C50)*(1+$K$6)</f>
        <v>2450.616</v>
      </c>
      <c r="I50" s="117">
        <f t="shared" ref="I50:I54" si="22">(F50*C50)*(1+$K$6)</f>
        <v>1050.2640000000004</v>
      </c>
      <c r="J50" s="118">
        <f t="shared" ref="J50:J54" si="23">SUM(H50:I50)</f>
        <v>3500.88</v>
      </c>
      <c r="K50" s="64" t="s">
        <v>60</v>
      </c>
      <c r="M50" s="16"/>
      <c r="N50" s="17"/>
      <c r="O50" s="31"/>
    </row>
    <row r="51" spans="1:15" s="15" customFormat="1" ht="24">
      <c r="A51" s="32" t="s">
        <v>6</v>
      </c>
      <c r="B51" s="63" t="s">
        <v>66</v>
      </c>
      <c r="C51" s="115">
        <v>22</v>
      </c>
      <c r="D51" s="116" t="s">
        <v>59</v>
      </c>
      <c r="E51" s="119">
        <f>G51*(0.7)</f>
        <v>104.685</v>
      </c>
      <c r="F51" s="120">
        <f t="shared" ref="F51" si="24">G51-E51</f>
        <v>44.865000000000009</v>
      </c>
      <c r="G51" s="121">
        <v>149.55000000000001</v>
      </c>
      <c r="H51" s="117">
        <f t="shared" ref="H51" si="25">(E51*C51)*(1+$K$6)</f>
        <v>2780.2661040000003</v>
      </c>
      <c r="I51" s="117">
        <f t="shared" ref="I51" si="26">(F51*C51)*(1+$K$6)</f>
        <v>1191.5426160000002</v>
      </c>
      <c r="J51" s="118">
        <f t="shared" ref="J51" si="27">SUM(H51:I51)</f>
        <v>3971.8087200000004</v>
      </c>
      <c r="K51" s="64" t="s">
        <v>60</v>
      </c>
      <c r="M51" s="16"/>
      <c r="N51" s="17"/>
      <c r="O51" s="31"/>
    </row>
    <row r="52" spans="1:15" s="15" customFormat="1" ht="24">
      <c r="A52" s="32" t="s">
        <v>17</v>
      </c>
      <c r="B52" s="63" t="s">
        <v>67</v>
      </c>
      <c r="C52" s="115">
        <v>105.8</v>
      </c>
      <c r="D52" s="116" t="s">
        <v>72</v>
      </c>
      <c r="E52" s="119">
        <f>G52*(0.8)</f>
        <v>26.712000000000003</v>
      </c>
      <c r="F52" s="120">
        <f t="shared" ref="F52" si="28">G52-E52</f>
        <v>6.6779999999999973</v>
      </c>
      <c r="G52" s="121">
        <v>33.39</v>
      </c>
      <c r="H52" s="117">
        <f t="shared" ref="H52" si="29">(E52*C52)*(1+$K$6)</f>
        <v>3411.7036531200006</v>
      </c>
      <c r="I52" s="117">
        <f t="shared" ref="I52" si="30">(F52*C52)*(1+$K$6)</f>
        <v>852.92591327999969</v>
      </c>
      <c r="J52" s="118">
        <f t="shared" ref="J52" si="31">SUM(H52:I52)</f>
        <v>4264.6295663999999</v>
      </c>
      <c r="K52" s="64">
        <v>94207</v>
      </c>
      <c r="M52" s="16"/>
      <c r="N52" s="17"/>
      <c r="O52" s="31"/>
    </row>
    <row r="53" spans="1:15" s="15" customFormat="1" ht="36">
      <c r="A53" s="32" t="s">
        <v>18</v>
      </c>
      <c r="B53" s="63" t="s">
        <v>51</v>
      </c>
      <c r="C53" s="115">
        <v>41</v>
      </c>
      <c r="D53" s="116" t="s">
        <v>41</v>
      </c>
      <c r="E53" s="119">
        <f>G53*(0.7)</f>
        <v>45.64</v>
      </c>
      <c r="F53" s="120">
        <f t="shared" si="20"/>
        <v>19.560000000000002</v>
      </c>
      <c r="G53" s="121">
        <v>65.2</v>
      </c>
      <c r="H53" s="117">
        <f t="shared" si="21"/>
        <v>2258.960928</v>
      </c>
      <c r="I53" s="117">
        <f t="shared" si="22"/>
        <v>968.12611200000003</v>
      </c>
      <c r="J53" s="118">
        <f t="shared" si="23"/>
        <v>3227.0870399999999</v>
      </c>
      <c r="K53" s="64">
        <v>94228</v>
      </c>
      <c r="M53" s="16"/>
      <c r="N53" s="17"/>
      <c r="O53" s="31"/>
    </row>
    <row r="54" spans="1:15" s="15" customFormat="1" ht="24">
      <c r="A54" s="32" t="s">
        <v>49</v>
      </c>
      <c r="B54" s="63" t="s">
        <v>70</v>
      </c>
      <c r="C54" s="115">
        <v>11.55</v>
      </c>
      <c r="D54" s="116" t="s">
        <v>41</v>
      </c>
      <c r="E54" s="119">
        <f>G54*(0.7323)</f>
        <v>33.971396999999996</v>
      </c>
      <c r="F54" s="120">
        <f t="shared" si="20"/>
        <v>12.418603000000004</v>
      </c>
      <c r="G54" s="121">
        <v>46.39</v>
      </c>
      <c r="H54" s="117">
        <f t="shared" si="21"/>
        <v>473.66862379451999</v>
      </c>
      <c r="I54" s="117">
        <f t="shared" si="22"/>
        <v>173.15456860548008</v>
      </c>
      <c r="J54" s="118">
        <f t="shared" si="23"/>
        <v>646.82319240000004</v>
      </c>
      <c r="K54" s="64">
        <v>89512</v>
      </c>
      <c r="M54" s="16"/>
      <c r="N54" s="17"/>
      <c r="O54" s="31"/>
    </row>
    <row r="55" spans="1:15" s="15" customFormat="1" ht="1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M55" s="16"/>
      <c r="N55" s="17"/>
      <c r="O55" s="31"/>
    </row>
    <row r="56" spans="1:15" s="15" customFormat="1">
      <c r="A56" s="26"/>
      <c r="B56" s="28" t="s">
        <v>34</v>
      </c>
      <c r="C56" s="54"/>
      <c r="D56" s="55"/>
      <c r="E56" s="55"/>
      <c r="F56" s="56"/>
      <c r="G56" s="57"/>
      <c r="H56" s="52">
        <f>SUM(H50:H54)</f>
        <v>11375.215308914521</v>
      </c>
      <c r="I56" s="52">
        <f>SUM(I50:I54)</f>
        <v>4236.0132098854801</v>
      </c>
      <c r="J56" s="52">
        <f>SUM(J50:J54)</f>
        <v>15611.228518800001</v>
      </c>
      <c r="K56" s="58"/>
      <c r="M56" s="16"/>
      <c r="N56" s="17"/>
      <c r="O56" s="31"/>
    </row>
    <row r="57" spans="1:15" s="15" customFormat="1" ht="1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M57" s="16"/>
      <c r="N57" s="17"/>
      <c r="O57" s="31"/>
    </row>
    <row r="58" spans="1:15" s="15" customFormat="1">
      <c r="A58" s="27" t="s">
        <v>75</v>
      </c>
      <c r="B58" s="27"/>
      <c r="C58" s="42"/>
      <c r="D58" s="34"/>
      <c r="E58" s="34"/>
      <c r="F58" s="43"/>
      <c r="G58" s="35"/>
      <c r="H58" s="35"/>
      <c r="I58" s="35"/>
      <c r="J58" s="35"/>
      <c r="K58" s="44"/>
      <c r="M58" s="16"/>
      <c r="N58" s="17"/>
      <c r="O58" s="31"/>
    </row>
    <row r="59" spans="1:15" s="15" customFormat="1" ht="24">
      <c r="A59" s="32" t="s">
        <v>5</v>
      </c>
      <c r="B59" s="63" t="s">
        <v>68</v>
      </c>
      <c r="C59" s="142">
        <v>18.23</v>
      </c>
      <c r="D59" s="116" t="s">
        <v>41</v>
      </c>
      <c r="E59" s="119">
        <f>G59*(0.5833)</f>
        <v>6.2879740000000002</v>
      </c>
      <c r="F59" s="120">
        <f t="shared" ref="F59:F60" si="32">G59-E59</f>
        <v>4.4920259999999992</v>
      </c>
      <c r="G59" s="121">
        <v>10.78</v>
      </c>
      <c r="H59" s="117">
        <f t="shared" ref="H59:H60" si="33">(E59*C59)*(1+$K$6)</f>
        <v>138.38105353934401</v>
      </c>
      <c r="I59" s="117">
        <f t="shared" ref="I59:I60" si="34">(F59*C59)*(1+$K$6)</f>
        <v>98.857166140655991</v>
      </c>
      <c r="J59" s="118">
        <f t="shared" ref="J59:J60" si="35">SUM(H59:I59)</f>
        <v>237.23821967999999</v>
      </c>
      <c r="K59" s="64">
        <v>91864</v>
      </c>
      <c r="M59" s="16"/>
      <c r="N59" s="17"/>
      <c r="O59" s="31"/>
    </row>
    <row r="60" spans="1:15" s="15" customFormat="1" ht="36">
      <c r="A60" s="32" t="s">
        <v>6</v>
      </c>
      <c r="B60" s="63" t="s">
        <v>48</v>
      </c>
      <c r="C60" s="115">
        <v>54.69</v>
      </c>
      <c r="D60" s="116" t="s">
        <v>41</v>
      </c>
      <c r="E60" s="119">
        <f>G60*(0.6577)</f>
        <v>1.7560589999999998</v>
      </c>
      <c r="F60" s="120">
        <f t="shared" si="32"/>
        <v>0.91394100000000011</v>
      </c>
      <c r="G60" s="121">
        <v>2.67</v>
      </c>
      <c r="H60" s="117">
        <f t="shared" si="33"/>
        <v>115.93811989231197</v>
      </c>
      <c r="I60" s="117">
        <f t="shared" si="34"/>
        <v>60.340000667688003</v>
      </c>
      <c r="J60" s="118">
        <f t="shared" si="35"/>
        <v>176.27812055999999</v>
      </c>
      <c r="K60" s="64">
        <v>91926</v>
      </c>
      <c r="M60" s="16"/>
      <c r="N60" s="17"/>
      <c r="O60" s="31"/>
    </row>
    <row r="61" spans="1:15" s="15" customFormat="1" ht="24">
      <c r="A61" s="32" t="s">
        <v>17</v>
      </c>
      <c r="B61" s="63" t="s">
        <v>69</v>
      </c>
      <c r="C61" s="115">
        <v>4</v>
      </c>
      <c r="D61" s="116" t="s">
        <v>59</v>
      </c>
      <c r="E61" s="119">
        <f>G61*(0.8138)</f>
        <v>36.710518</v>
      </c>
      <c r="F61" s="120">
        <f t="shared" ref="F61:F62" si="36">G61-E61</f>
        <v>8.399481999999999</v>
      </c>
      <c r="G61" s="121">
        <v>45.11</v>
      </c>
      <c r="H61" s="117">
        <f t="shared" ref="H61:H62" si="37">(E61*C61)*(1+$K$6)</f>
        <v>177.26774931840001</v>
      </c>
      <c r="I61" s="117">
        <f t="shared" ref="I61:I62" si="38">(F61*C61)*(1+$K$6)</f>
        <v>40.5594186816</v>
      </c>
      <c r="J61" s="118">
        <f t="shared" ref="J61:J62" si="39">SUM(H61:I61)</f>
        <v>217.827168</v>
      </c>
      <c r="K61" s="64">
        <v>97583</v>
      </c>
      <c r="M61" s="16"/>
      <c r="N61" s="17"/>
      <c r="O61" s="31"/>
    </row>
    <row r="62" spans="1:15" s="15" customFormat="1">
      <c r="A62" s="32" t="s">
        <v>18</v>
      </c>
      <c r="B62" s="63" t="s">
        <v>50</v>
      </c>
      <c r="C62" s="144">
        <v>1</v>
      </c>
      <c r="D62" s="116" t="s">
        <v>59</v>
      </c>
      <c r="E62" s="119">
        <f>G62*(0.5625)</f>
        <v>12.06</v>
      </c>
      <c r="F62" s="120">
        <f t="shared" si="36"/>
        <v>9.3800000000000008</v>
      </c>
      <c r="G62" s="121">
        <v>21.44</v>
      </c>
      <c r="H62" s="117">
        <f t="shared" si="37"/>
        <v>14.558832000000001</v>
      </c>
      <c r="I62" s="117">
        <f t="shared" si="38"/>
        <v>11.323536000000001</v>
      </c>
      <c r="J62" s="118">
        <f t="shared" si="39"/>
        <v>25.882368</v>
      </c>
      <c r="K62" s="122">
        <v>91953</v>
      </c>
      <c r="M62" s="16"/>
      <c r="N62" s="17"/>
      <c r="O62" s="31"/>
    </row>
    <row r="63" spans="1:15" s="15" customFormat="1" ht="1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M63" s="16"/>
      <c r="N63" s="17"/>
      <c r="O63" s="31"/>
    </row>
    <row r="64" spans="1:15" s="15" customFormat="1">
      <c r="A64" s="26"/>
      <c r="B64" s="28" t="s">
        <v>36</v>
      </c>
      <c r="C64" s="54"/>
      <c r="D64" s="55"/>
      <c r="E64" s="55"/>
      <c r="F64" s="56"/>
      <c r="G64" s="57"/>
      <c r="H64" s="52">
        <f>SUM(H59:H62)</f>
        <v>446.14575475005603</v>
      </c>
      <c r="I64" s="52">
        <f>SUM(I59:I62)</f>
        <v>211.08012148994396</v>
      </c>
      <c r="J64" s="52">
        <f>SUM(J59:J62)</f>
        <v>657.22587624000005</v>
      </c>
      <c r="K64" s="58"/>
      <c r="M64" s="16"/>
      <c r="N64" s="17"/>
      <c r="O64" s="31"/>
    </row>
    <row r="65" spans="1:15" s="15" customFormat="1" ht="1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M65" s="16"/>
      <c r="N65" s="17"/>
      <c r="O65" s="31"/>
    </row>
    <row r="66" spans="1:15" s="15" customFormat="1">
      <c r="A66" s="26"/>
      <c r="B66" s="28" t="s">
        <v>16</v>
      </c>
      <c r="C66" s="54"/>
      <c r="D66" s="55"/>
      <c r="E66" s="55"/>
      <c r="F66" s="56"/>
      <c r="G66" s="57"/>
      <c r="H66" s="52">
        <f>H12+H19+H31+H37+H47+H56+H64</f>
        <v>16279.036249825993</v>
      </c>
      <c r="I66" s="52">
        <f>I12+I19+I31++I37+I47+I56+I64</f>
        <v>6110.5776548140075</v>
      </c>
      <c r="J66" s="52">
        <f>J12+J19+J31+J37+J42+J47+J56+J64</f>
        <v>22488.91817664</v>
      </c>
      <c r="K66" s="58"/>
      <c r="M66" s="16"/>
      <c r="N66" s="17"/>
    </row>
    <row r="67" spans="1:15" ht="12">
      <c r="A67" s="150" t="s">
        <v>9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</row>
    <row r="68" spans="1:15" ht="12">
      <c r="A68" s="151" t="s">
        <v>19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</row>
    <row r="69" spans="1:15">
      <c r="A69" s="87"/>
      <c r="B69" s="87"/>
      <c r="C69" s="59"/>
      <c r="D69" s="87"/>
      <c r="E69" s="87"/>
      <c r="F69" s="60"/>
      <c r="G69" s="61"/>
      <c r="H69" s="61"/>
      <c r="I69" s="61"/>
      <c r="J69" s="61"/>
      <c r="K69" s="87"/>
    </row>
    <row r="70" spans="1:15">
      <c r="C70" s="59"/>
      <c r="D70" s="87"/>
      <c r="E70" s="87"/>
      <c r="K70" s="62"/>
    </row>
    <row r="71" spans="1:15" ht="34.5" customHeight="1">
      <c r="C71" s="59"/>
      <c r="D71" s="87"/>
      <c r="E71" s="87"/>
      <c r="K71" s="87"/>
    </row>
    <row r="72" spans="1:15">
      <c r="B72" s="5" t="s">
        <v>53</v>
      </c>
      <c r="C72" s="59"/>
      <c r="D72" s="87"/>
      <c r="E72" s="87"/>
      <c r="F72" s="149" t="s">
        <v>15</v>
      </c>
      <c r="G72" s="149"/>
      <c r="H72" s="149"/>
      <c r="I72" s="149"/>
      <c r="J72" s="149"/>
      <c r="K72" s="87"/>
    </row>
    <row r="73" spans="1:15">
      <c r="C73" s="59"/>
      <c r="D73" s="87"/>
      <c r="E73" s="87"/>
      <c r="F73" s="148" t="s">
        <v>25</v>
      </c>
      <c r="G73" s="148"/>
      <c r="H73" s="148"/>
      <c r="I73" s="148"/>
      <c r="J73" s="148"/>
      <c r="K73" s="4"/>
    </row>
    <row r="74" spans="1:15">
      <c r="A74" s="110"/>
      <c r="B74" s="110"/>
      <c r="C74" s="70"/>
      <c r="D74" s="71"/>
      <c r="E74" s="71"/>
      <c r="F74" s="72"/>
      <c r="G74" s="73"/>
      <c r="H74" s="73"/>
      <c r="I74" s="111"/>
      <c r="J74" s="111"/>
      <c r="K74" s="71"/>
    </row>
    <row r="75" spans="1:15">
      <c r="A75" s="110"/>
      <c r="B75" s="110"/>
      <c r="C75" s="70"/>
      <c r="D75" s="71"/>
      <c r="E75" s="71"/>
      <c r="F75" s="72"/>
      <c r="G75" s="73"/>
      <c r="H75" s="73"/>
      <c r="I75" s="73"/>
      <c r="J75" s="73"/>
      <c r="K75" s="71"/>
    </row>
    <row r="76" spans="1:15">
      <c r="A76" s="110"/>
      <c r="B76" s="110"/>
      <c r="C76" s="70"/>
      <c r="D76" s="71"/>
      <c r="E76" s="71"/>
      <c r="F76" s="72"/>
      <c r="G76" s="73"/>
      <c r="H76" s="73"/>
      <c r="I76" s="73"/>
      <c r="J76" s="73"/>
      <c r="K76" s="71"/>
    </row>
    <row r="77" spans="1:15">
      <c r="A77" s="110"/>
      <c r="B77" s="110"/>
      <c r="C77" s="70"/>
      <c r="D77" s="71"/>
      <c r="E77" s="71"/>
      <c r="F77" s="72"/>
      <c r="G77" s="73"/>
      <c r="H77" s="73"/>
      <c r="I77" s="73"/>
      <c r="J77" s="73"/>
      <c r="K77" s="71"/>
    </row>
    <row r="78" spans="1:15">
      <c r="A78" s="110"/>
      <c r="B78" s="110"/>
      <c r="C78" s="70"/>
      <c r="D78" s="71"/>
      <c r="E78" s="71"/>
      <c r="F78" s="72"/>
      <c r="G78" s="73"/>
      <c r="H78" s="73"/>
      <c r="I78" s="73"/>
      <c r="J78" s="73"/>
      <c r="K78" s="71"/>
    </row>
    <row r="79" spans="1:15">
      <c r="A79" s="110"/>
      <c r="B79" s="110"/>
      <c r="C79" s="70"/>
      <c r="D79" s="71"/>
      <c r="E79" s="71"/>
      <c r="F79" s="72"/>
      <c r="G79" s="73"/>
      <c r="H79" s="73"/>
      <c r="I79" s="73"/>
      <c r="J79" s="73"/>
      <c r="K79" s="71"/>
    </row>
    <row r="80" spans="1:15">
      <c r="A80" s="110"/>
      <c r="B80" s="110"/>
      <c r="C80" s="70"/>
      <c r="D80" s="71"/>
      <c r="E80" s="71"/>
      <c r="F80" s="112"/>
      <c r="G80" s="113"/>
      <c r="H80" s="113"/>
      <c r="I80" s="113"/>
      <c r="J80" s="113"/>
      <c r="K80" s="71"/>
    </row>
    <row r="81" spans="6:10">
      <c r="F81" s="22"/>
      <c r="G81" s="20"/>
      <c r="H81" s="20"/>
      <c r="I81" s="20"/>
      <c r="J81" s="20"/>
    </row>
    <row r="82" spans="6:10">
      <c r="F82" s="22"/>
      <c r="G82" s="20"/>
      <c r="H82" s="20"/>
      <c r="I82" s="20"/>
      <c r="J82" s="20"/>
    </row>
  </sheetData>
  <sheetProtection selectLockedCells="1" selectUnlockedCells="1"/>
  <mergeCells count="7">
    <mergeCell ref="F73:J73"/>
    <mergeCell ref="F72:J72"/>
    <mergeCell ref="A67:K67"/>
    <mergeCell ref="A68:K68"/>
    <mergeCell ref="E7:G7"/>
    <mergeCell ref="H7:J7"/>
    <mergeCell ref="K7:K8"/>
  </mergeCells>
  <phoneticPr fontId="4" type="noConversion"/>
  <printOptions horizontalCentered="1"/>
  <pageMargins left="0.39370078740157483" right="0.39370078740157483" top="0.98425196850393704" bottom="0.98425196850393704" header="0.51181102362204722" footer="0.51181102362204722"/>
  <pageSetup scale="76" firstPageNumber="0" orientation="landscape" r:id="rId1"/>
  <headerFooter alignWithMargins="0"/>
  <ignoredErrors>
    <ignoredError sqref="I47 I66 E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selection activeCell="A31" sqref="A31"/>
    </sheetView>
  </sheetViews>
  <sheetFormatPr defaultRowHeight="12.75"/>
  <cols>
    <col min="1" max="1" width="36.140625" bestFit="1" customWidth="1"/>
    <col min="2" max="2" width="10.140625" bestFit="1" customWidth="1"/>
    <col min="3" max="3" width="11.42578125" customWidth="1"/>
    <col min="4" max="4" width="10.85546875" customWidth="1"/>
    <col min="5" max="5" width="11.7109375" customWidth="1"/>
    <col min="6" max="6" width="9.140625" customWidth="1"/>
    <col min="7" max="7" width="11.140625" customWidth="1"/>
    <col min="8" max="8" width="9" customWidth="1"/>
    <col min="9" max="9" width="10.42578125" customWidth="1"/>
    <col min="10" max="10" width="6.140625" customWidth="1"/>
    <col min="11" max="11" width="8.42578125" customWidth="1"/>
    <col min="12" max="12" width="7" bestFit="1" customWidth="1"/>
    <col min="13" max="13" width="8.42578125" customWidth="1"/>
    <col min="14" max="14" width="6.140625" customWidth="1"/>
    <col min="15" max="15" width="9.85546875" customWidth="1"/>
    <col min="16" max="16" width="7.28515625" customWidth="1"/>
    <col min="17" max="17" width="8.140625" hidden="1" customWidth="1"/>
    <col min="18" max="18" width="6.140625" hidden="1" customWidth="1"/>
    <col min="19" max="19" width="8.5703125" hidden="1" customWidth="1"/>
    <col min="20" max="20" width="7" hidden="1" customWidth="1"/>
    <col min="21" max="21" width="8.28515625" hidden="1" customWidth="1"/>
    <col min="22" max="22" width="7.85546875" hidden="1" customWidth="1"/>
    <col min="23" max="23" width="10.140625" bestFit="1" customWidth="1"/>
    <col min="24" max="24" width="9.28515625" customWidth="1"/>
  </cols>
  <sheetData>
    <row r="1" spans="1:20" ht="15">
      <c r="A1" s="159" t="s">
        <v>20</v>
      </c>
      <c r="B1" s="159"/>
      <c r="C1" s="159"/>
      <c r="D1" s="159"/>
      <c r="E1" s="146"/>
      <c r="F1" s="146"/>
      <c r="G1" s="146"/>
      <c r="H1" s="146"/>
      <c r="I1" s="14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5">
      <c r="A2" s="159" t="s">
        <v>79</v>
      </c>
      <c r="B2" s="159"/>
      <c r="C2" s="159"/>
      <c r="D2" s="159"/>
      <c r="E2" s="146"/>
      <c r="F2" s="146"/>
      <c r="G2" s="146"/>
      <c r="H2" s="146"/>
      <c r="I2" s="14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4.25">
      <c r="A3" s="160" t="s">
        <v>78</v>
      </c>
      <c r="B3" s="160"/>
      <c r="C3" s="160"/>
      <c r="D3" s="160"/>
      <c r="E3" s="147"/>
      <c r="F3" s="147"/>
      <c r="G3" s="147"/>
      <c r="H3" s="147"/>
      <c r="I3" s="147"/>
    </row>
    <row r="4" spans="1:20" ht="14.25">
      <c r="A4" s="79"/>
      <c r="B4" s="79"/>
      <c r="C4" s="79"/>
      <c r="D4" s="79"/>
    </row>
    <row r="5" spans="1:20" ht="15">
      <c r="A5" s="77" t="s">
        <v>10</v>
      </c>
      <c r="B5" s="78" t="s">
        <v>11</v>
      </c>
      <c r="C5" s="157" t="s">
        <v>12</v>
      </c>
      <c r="D5" s="157"/>
    </row>
    <row r="6" spans="1:20" ht="15">
      <c r="A6" s="80" t="str">
        <f>ORÇAMENTO!A9</f>
        <v>1.SERVIÇOS PRELIMINARES</v>
      </c>
      <c r="B6" s="81">
        <f>ORÇAMENTO!J12</f>
        <v>625.52275199999997</v>
      </c>
      <c r="C6" s="82">
        <f>B6*D6</f>
        <v>625.52275199999997</v>
      </c>
      <c r="D6" s="83">
        <v>1</v>
      </c>
    </row>
    <row r="7" spans="1:20" ht="15">
      <c r="A7" s="84" t="str">
        <f>ORÇAMENTO!A16</f>
        <v>2. DEMOLIÇÃO</v>
      </c>
      <c r="B7" s="85">
        <f>ORÇAMENTO!J19</f>
        <v>167.03543519999999</v>
      </c>
      <c r="C7" s="82">
        <f>B7*D7</f>
        <v>167.03543519999999</v>
      </c>
      <c r="D7" s="83">
        <v>1</v>
      </c>
    </row>
    <row r="8" spans="1:20" ht="15">
      <c r="A8" s="84" t="str">
        <f>ORÇAMENTO!A22</f>
        <v>3. FUNDAÇÕES</v>
      </c>
      <c r="B8" s="85">
        <f>ORÇAMENTO!J31</f>
        <v>1092.8091081600001</v>
      </c>
      <c r="C8" s="82">
        <f>B8*D8</f>
        <v>1092.8091081600001</v>
      </c>
      <c r="D8" s="83">
        <v>1</v>
      </c>
    </row>
    <row r="9" spans="1:20" ht="15">
      <c r="A9" s="84" t="str">
        <f>ORÇAMENTO!A33</f>
        <v>4. ESTRUTURA</v>
      </c>
      <c r="B9" s="85">
        <f>ORÇAMENTO!J37</f>
        <v>3368.0879999999997</v>
      </c>
      <c r="C9" s="82">
        <f t="shared" ref="C9:C13" si="0">B9*D9</f>
        <v>3368.0879999999997</v>
      </c>
      <c r="D9" s="83">
        <v>1</v>
      </c>
    </row>
    <row r="10" spans="1:20" ht="15">
      <c r="A10" s="84" t="str">
        <f>ORÇAMENTO!A39</f>
        <v>5. REPARO EM CONCRETO</v>
      </c>
      <c r="B10" s="85">
        <f>ORÇAMENTO!J42</f>
        <v>99.304271999999997</v>
      </c>
      <c r="C10" s="82">
        <f t="shared" si="0"/>
        <v>99.304271999999997</v>
      </c>
      <c r="D10" s="83">
        <v>1</v>
      </c>
    </row>
    <row r="11" spans="1:20" ht="15">
      <c r="A11" s="84" t="str">
        <f>ORÇAMENTO!A44</f>
        <v>6. FECHAMENTO</v>
      </c>
      <c r="B11" s="85">
        <f>ORÇAMENTO!J47</f>
        <v>867.70421424000006</v>
      </c>
      <c r="C11" s="82">
        <f t="shared" si="0"/>
        <v>867.70421424000006</v>
      </c>
      <c r="D11" s="83">
        <v>1</v>
      </c>
    </row>
    <row r="12" spans="1:20" ht="15">
      <c r="A12" s="84" t="str">
        <f>ORÇAMENTO!A49</f>
        <v>7. COBERTURA</v>
      </c>
      <c r="B12" s="85">
        <f>ORÇAMENTO!J56</f>
        <v>15611.228518800001</v>
      </c>
      <c r="C12" s="82">
        <f t="shared" si="0"/>
        <v>15611.228518800001</v>
      </c>
      <c r="D12" s="83">
        <v>1</v>
      </c>
    </row>
    <row r="13" spans="1:20" ht="15">
      <c r="A13" s="84" t="str">
        <f>ORÇAMENTO!A58</f>
        <v>8. INSTALAÇÕES ELÉTRICAS</v>
      </c>
      <c r="B13" s="85">
        <f>ORÇAMENTO!J64</f>
        <v>657.22587624000005</v>
      </c>
      <c r="C13" s="82">
        <f t="shared" si="0"/>
        <v>657.22587624000005</v>
      </c>
      <c r="D13" s="83">
        <v>1</v>
      </c>
    </row>
    <row r="14" spans="1:20" ht="15">
      <c r="A14" s="84" t="s">
        <v>8</v>
      </c>
      <c r="B14" s="85">
        <f>SUM(B6:B13)</f>
        <v>22488.91817664</v>
      </c>
      <c r="C14" s="86">
        <f>SUM(C6:C13)</f>
        <v>22488.91817664</v>
      </c>
      <c r="D14" s="84"/>
    </row>
    <row r="15" spans="1:20" ht="14.25">
      <c r="A15" s="79"/>
      <c r="B15" s="158" t="s">
        <v>77</v>
      </c>
      <c r="C15" s="158"/>
      <c r="D15" s="158"/>
      <c r="E15" s="79"/>
    </row>
    <row r="17" spans="2:23">
      <c r="R17" s="1"/>
      <c r="U17" s="2"/>
      <c r="V17" s="2"/>
      <c r="W17" s="2"/>
    </row>
    <row r="20" spans="2:23">
      <c r="C20" s="3"/>
    </row>
    <row r="21" spans="2:23">
      <c r="B21" s="3"/>
    </row>
  </sheetData>
  <sheetProtection selectLockedCells="1" selectUnlockedCells="1"/>
  <mergeCells count="5">
    <mergeCell ref="C5:D5"/>
    <mergeCell ref="B15:D15"/>
    <mergeCell ref="A2:D2"/>
    <mergeCell ref="A1:D1"/>
    <mergeCell ref="A3:D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F7"/>
  <sheetViews>
    <sheetView workbookViewId="0">
      <selection activeCell="G25" sqref="G25"/>
    </sheetView>
  </sheetViews>
  <sheetFormatPr defaultRowHeight="12.75"/>
  <cols>
    <col min="5" max="5" width="18.5703125" bestFit="1" customWidth="1"/>
  </cols>
  <sheetData>
    <row r="7" spans="6:6">
      <c r="F7" s="11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</vt:lpstr>
      <vt:lpstr>CRONOGRAMA</vt:lpstr>
      <vt:lpstr>Plan1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snoschang</dc:creator>
  <cp:lastModifiedBy>asilveira</cp:lastModifiedBy>
  <cp:lastPrinted>2019-03-26T19:07:25Z</cp:lastPrinted>
  <dcterms:created xsi:type="dcterms:W3CDTF">2014-05-07T14:36:43Z</dcterms:created>
  <dcterms:modified xsi:type="dcterms:W3CDTF">2019-11-25T13:29:38Z</dcterms:modified>
</cp:coreProperties>
</file>